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15" yWindow="6225" windowWidth="21060" windowHeight="6285"/>
  </bookViews>
  <sheets>
    <sheet name="Primary Characteristics" sheetId="34" r:id="rId1"/>
    <sheet name="PITO" sheetId="36" r:id="rId2"/>
    <sheet name="Ferry Land Improvements" sheetId="37" r:id="rId3"/>
    <sheet name="Secondary WS Modifiers" sheetId="30" r:id="rId4"/>
    <sheet name="Secondary EQ Modifiers" sheetId="31" r:id="rId5"/>
    <sheet name="instructions" sheetId="15" state="hidden" r:id="rId6"/>
    <sheet name="Sheet1" sheetId="35" r:id="rId7"/>
  </sheets>
  <externalReferences>
    <externalReference r:id="rId8"/>
    <externalReference r:id="rId9"/>
    <externalReference r:id="rId10"/>
    <externalReference r:id="rId11"/>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0" hidden="1">'Primary Characteristics'!$A$1:$CL$1888</definedName>
    <definedName name="AIRAttStru">#REF!</definedName>
    <definedName name="AIRExtDoors">#REF!</definedName>
    <definedName name="AIRLrgeMissiles">#REF!</definedName>
    <definedName name="AIRRfAnchorage">#REF!</definedName>
    <definedName name="AIRRfCover">#REF!</definedName>
    <definedName name="AIRWallType">#REF!</definedName>
    <definedName name="AIRWindoProt">#REF!</definedName>
    <definedName name="AIRYrBLT">#REF!</definedName>
    <definedName name="ApptResStrctrs">#REF!</definedName>
    <definedName name="Appurt">'[1]Secondary Wind Characteristics'!$A$60:$A$63</definedName>
    <definedName name="AppurtCmlStrctres">#REF!</definedName>
    <definedName name="AppurtStrctres">#REF!</definedName>
    <definedName name="ArchElem">'[2]Location Fields Template'!$J$2:$J$6</definedName>
    <definedName name="Basement">'[1]Secondary Wind Characteristics'!$A$53:$A$57</definedName>
    <definedName name="Bsmt">'[2]Location Fields Template'!$H$2:$H$6</definedName>
    <definedName name="Cladding">'[1]Secondary Wind Characteristics'!$A$66:$A$74</definedName>
    <definedName name="CladdType">#REF!</definedName>
    <definedName name="CntGrade">#REF!</definedName>
    <definedName name="ConQual">'[2]Location Fields Template'!$G$2:$G$6</definedName>
    <definedName name="ConstQual">'[1]Secondary Wind Characteristics'!$A$3:$A$6</definedName>
    <definedName name="contact">#REF!</definedName>
    <definedName name="ContGrade">'[1]Secondary Wind Characteristics'!$A$114:$A$117</definedName>
    <definedName name="Declared_Values_2003">'[3]EQ Info - California 07-08'!$A$5:$O$798</definedName>
    <definedName name="DoorRes">'[2]Location Fields Template'!$N$2:$N$6</definedName>
    <definedName name="ExtOrn">'[2]Location Fields Template'!$M$2:$M$5</definedName>
    <definedName name="FlashCope">'[1]Secondary Wind Characteristics'!$A$109:$A$111</definedName>
    <definedName name="FlashCopQlty">#REF!</definedName>
    <definedName name="flprot">'[2]Location Fields Template'!$AB$2:$AB$4</definedName>
    <definedName name="FrameFndation">#REF!</definedName>
    <definedName name="FrameFound">'[1]Secondary Wind Characteristics'!$A$86:$A$88</definedName>
    <definedName name="GrndLvlEqpmt">#REF!</definedName>
    <definedName name="GroundEquip">'[1]Secondary Wind Characteristics'!$A$91:$A$94</definedName>
    <definedName name="Mechbldg">'[2]Location Fields Template'!$S$2:$S$5</definedName>
    <definedName name="MechEquip">'[2]Location Fields Template'!$R$2:$R$5</definedName>
    <definedName name="mechroof">'[2]Location Fields Template'!$T$2:$T$6</definedName>
    <definedName name="OpenProt">'[1]Secondary Wind Characteristics'!$A$97:$A$106</definedName>
    <definedName name="OpenProtection">#REF!</definedName>
    <definedName name="_xlnm.Print_Area" localSheetId="4">'Secondary EQ Modifiers'!$B$1:$D$95</definedName>
    <definedName name="_xlnm.Print_Area" localSheetId="3">'Secondary WS Modifiers'!$A$1:$F$130</definedName>
    <definedName name="r_a">'[4]Secondary Wind Characteristics'!$A$22:$A$26</definedName>
    <definedName name="RfAttchdStruc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ofage">'[2]Location Fields Template'!$U$2</definedName>
    <definedName name="roofanchor">'[2]Location Fields Template'!$V$2:$V$7</definedName>
    <definedName name="RoofAttach">'[1]Secondary Wind Characteristics'!$A$77:$A$83</definedName>
    <definedName name="roofcov">'[2]Location Fields Template'!$AA$2:$AA$10</definedName>
    <definedName name="RoofCover">'[1]Secondary Wind Characteristics'!$A$9:$A$19</definedName>
    <definedName name="RoofCovrng">#REF!</definedName>
    <definedName name="RoofEqHUBracing">#REF!</definedName>
    <definedName name="RoofEquip">'[1]Secondary Wind Characteristics'!$A$48:$A$50</definedName>
    <definedName name="roofframe">'[2]Location Fields Template'!$W$2:$W$7</definedName>
    <definedName name="RoofGeo">'[1]Secondary Wind Characteristics'!$A$29:$A$37</definedName>
    <definedName name="RoofGeoAIR">#REF!</definedName>
    <definedName name="roofgeom">'[2]Location Fields Template'!$X$2:$X$11</definedName>
    <definedName name="RoofGeometry">#REF!</definedName>
    <definedName name="roofmain">'[2]Location Fields Template'!$Y$2:$Y$4</definedName>
    <definedName name="roofparap">'[2]Location Fields Template'!$Z$2:$Z$4</definedName>
    <definedName name="RoofSheathing">#REF!</definedName>
    <definedName name="vulWater">'[2]Location Fields Template'!$P$2:$P$6</definedName>
    <definedName name="VulWind">'[2]Location Fields Template'!$Q$2:$Q$6</definedName>
    <definedName name="WindRes">'[2]Location Fields Template'!$O$2:$O$11</definedName>
    <definedName name="YrBlt">#REF!</definedName>
    <definedName name="YrBltAIR">#REF!</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H35" i="37" l="1"/>
  <c r="AF756" i="34"/>
  <c r="AD756" i="34"/>
  <c r="N2339" i="36"/>
  <c r="I2338" i="36"/>
  <c r="G2338" i="36"/>
  <c r="E2338" i="36"/>
  <c r="I2337" i="36"/>
  <c r="G2337" i="36"/>
  <c r="E2337" i="36"/>
  <c r="I2336" i="36"/>
  <c r="G2336" i="36"/>
  <c r="E2336" i="36"/>
  <c r="I2335" i="36"/>
  <c r="G2335" i="36"/>
  <c r="E2335" i="36"/>
  <c r="I2334" i="36"/>
  <c r="G2334" i="36"/>
  <c r="E2334" i="36"/>
  <c r="I2333" i="36"/>
  <c r="G2333" i="36"/>
  <c r="E2333" i="36"/>
  <c r="I2332" i="36"/>
  <c r="G2332" i="36"/>
  <c r="E2332" i="36"/>
  <c r="I2331" i="36"/>
  <c r="G2331" i="36"/>
  <c r="E2331" i="36"/>
  <c r="I2330" i="36"/>
  <c r="G2330" i="36"/>
  <c r="E2330" i="36"/>
  <c r="I2329" i="36"/>
  <c r="G2329" i="36"/>
  <c r="E2329" i="36"/>
  <c r="I2328" i="36"/>
  <c r="G2328" i="36"/>
  <c r="E2328" i="36"/>
  <c r="I2327" i="36"/>
  <c r="G2327" i="36"/>
  <c r="E2327" i="36"/>
  <c r="I2326" i="36"/>
  <c r="G2326" i="36"/>
  <c r="E2326" i="36"/>
  <c r="I2325" i="36"/>
  <c r="G2325" i="36"/>
  <c r="E2325" i="36"/>
  <c r="I2324" i="36"/>
  <c r="G2324" i="36"/>
  <c r="E2324" i="36"/>
  <c r="I2323" i="36"/>
  <c r="G2323" i="36"/>
  <c r="E2323" i="36"/>
  <c r="I2322" i="36"/>
  <c r="G2322" i="36"/>
  <c r="E2322" i="36"/>
  <c r="I2321" i="36"/>
  <c r="G2321" i="36"/>
  <c r="E2321" i="36"/>
  <c r="I2320" i="36"/>
  <c r="G2320" i="36"/>
  <c r="E2320" i="36"/>
  <c r="I2319" i="36"/>
  <c r="G2319" i="36"/>
  <c r="E2319" i="36"/>
  <c r="I2318" i="36"/>
  <c r="G2318" i="36"/>
  <c r="E2318" i="36"/>
  <c r="I2317" i="36"/>
  <c r="G2317" i="36"/>
  <c r="E2317" i="36"/>
  <c r="I2316" i="36"/>
  <c r="G2316" i="36"/>
  <c r="E2316" i="36"/>
  <c r="I2315" i="36"/>
  <c r="G2315" i="36"/>
  <c r="E2315" i="36"/>
  <c r="I2314" i="36"/>
  <c r="G2314" i="36"/>
  <c r="E2314" i="36"/>
  <c r="I2313" i="36"/>
  <c r="G2313" i="36"/>
  <c r="E2313" i="36"/>
  <c r="I2312" i="36"/>
  <c r="G2312" i="36"/>
  <c r="E2312" i="36"/>
  <c r="I2311" i="36"/>
  <c r="G2311" i="36"/>
  <c r="E2311" i="36"/>
  <c r="I2310" i="36"/>
  <c r="G2310" i="36"/>
  <c r="E2310" i="36"/>
  <c r="I2309" i="36"/>
  <c r="G2309" i="36"/>
  <c r="E2309" i="36"/>
  <c r="I2308" i="36"/>
  <c r="G2308" i="36"/>
  <c r="E2308" i="36"/>
  <c r="I2307" i="36"/>
  <c r="G2307" i="36"/>
  <c r="E2307" i="36"/>
  <c r="I2306" i="36"/>
  <c r="G2306" i="36"/>
  <c r="E2306" i="36"/>
  <c r="I2305" i="36"/>
  <c r="G2305" i="36"/>
  <c r="E2305" i="36"/>
  <c r="I2304" i="36"/>
  <c r="G2304" i="36"/>
  <c r="E2304" i="36"/>
  <c r="I2303" i="36"/>
  <c r="G2303" i="36"/>
  <c r="E2303" i="36"/>
  <c r="I2302" i="36"/>
  <c r="G2302" i="36"/>
  <c r="E2302" i="36"/>
  <c r="I2301" i="36"/>
  <c r="G2301" i="36"/>
  <c r="E2301" i="36"/>
  <c r="I2300" i="36"/>
  <c r="G2300" i="36"/>
  <c r="E2300" i="36"/>
  <c r="I2299" i="36"/>
  <c r="G2299" i="36"/>
  <c r="E2299" i="36"/>
  <c r="I2298" i="36"/>
  <c r="G2298" i="36"/>
  <c r="E2298" i="36"/>
  <c r="I2297" i="36"/>
  <c r="G2297" i="36"/>
  <c r="E2297" i="36"/>
  <c r="I2296" i="36"/>
  <c r="G2296" i="36"/>
  <c r="E2296" i="36"/>
  <c r="I2295" i="36"/>
  <c r="G2295" i="36"/>
  <c r="E2295" i="36"/>
  <c r="I2294" i="36"/>
  <c r="G2294" i="36"/>
  <c r="E2294" i="36"/>
  <c r="I2293" i="36"/>
  <c r="G2293" i="36"/>
  <c r="E2293" i="36"/>
  <c r="I2292" i="36"/>
  <c r="G2292" i="36"/>
  <c r="E2292" i="36"/>
  <c r="I2291" i="36"/>
  <c r="G2291" i="36"/>
  <c r="E2291" i="36"/>
  <c r="I2290" i="36"/>
  <c r="G2290" i="36"/>
  <c r="E2290" i="36"/>
  <c r="I2289" i="36"/>
  <c r="G2289" i="36"/>
  <c r="E2289" i="36"/>
  <c r="I2288" i="36"/>
  <c r="G2288" i="36"/>
  <c r="E2288" i="36"/>
  <c r="I2287" i="36"/>
  <c r="G2287" i="36"/>
  <c r="E2287" i="36"/>
  <c r="I2286" i="36"/>
  <c r="G2286" i="36"/>
  <c r="E2286" i="36"/>
  <c r="I2285" i="36"/>
  <c r="G2285" i="36"/>
  <c r="E2285" i="36"/>
  <c r="I2284" i="36"/>
  <c r="G2284" i="36"/>
  <c r="E2284" i="36"/>
  <c r="I2283" i="36"/>
  <c r="G2283" i="36"/>
  <c r="E2283" i="36"/>
  <c r="I2282" i="36"/>
  <c r="G2282" i="36"/>
  <c r="E2282" i="36"/>
  <c r="I2281" i="36"/>
  <c r="G2281" i="36"/>
  <c r="E2281" i="36"/>
  <c r="I2280" i="36"/>
  <c r="G2280" i="36"/>
  <c r="E2280" i="36"/>
  <c r="I2279" i="36"/>
  <c r="G2279" i="36"/>
  <c r="E2279" i="36"/>
  <c r="I2278" i="36"/>
  <c r="G2278" i="36"/>
  <c r="E2278" i="36"/>
  <c r="I2277" i="36"/>
  <c r="G2277" i="36"/>
  <c r="E2277" i="36"/>
  <c r="I2276" i="36"/>
  <c r="G2276" i="36"/>
  <c r="E2276" i="36"/>
  <c r="I2275" i="36"/>
  <c r="G2275" i="36"/>
  <c r="E2275" i="36"/>
  <c r="I2274" i="36"/>
  <c r="G2274" i="36"/>
  <c r="E2274" i="36"/>
  <c r="I2273" i="36"/>
  <c r="G2273" i="36"/>
  <c r="E2273" i="36"/>
  <c r="I2272" i="36"/>
  <c r="G2272" i="36"/>
  <c r="E2272" i="36"/>
  <c r="I2271" i="36"/>
  <c r="G2271" i="36"/>
  <c r="E2271" i="36"/>
  <c r="I2270" i="36"/>
  <c r="G2270" i="36"/>
  <c r="E2270" i="36"/>
  <c r="I2269" i="36"/>
  <c r="G2269" i="36"/>
  <c r="E2269" i="36"/>
  <c r="I2268" i="36"/>
  <c r="G2268" i="36"/>
  <c r="E2268" i="36"/>
  <c r="I2267" i="36"/>
  <c r="G2267" i="36"/>
  <c r="E2267" i="36"/>
  <c r="I2266" i="36"/>
  <c r="G2266" i="36"/>
  <c r="E2266" i="36"/>
  <c r="I2265" i="36"/>
  <c r="G2265" i="36"/>
  <c r="E2265" i="36"/>
  <c r="I2264" i="36"/>
  <c r="G2264" i="36"/>
  <c r="E2264" i="36"/>
  <c r="I2263" i="36"/>
  <c r="G2263" i="36"/>
  <c r="E2263" i="36"/>
  <c r="I2262" i="36"/>
  <c r="G2262" i="36"/>
  <c r="E2262" i="36"/>
  <c r="I2261" i="36"/>
  <c r="G2261" i="36"/>
  <c r="E2261" i="36"/>
  <c r="I2260" i="36"/>
  <c r="G2260" i="36"/>
  <c r="E2260" i="36"/>
  <c r="I2259" i="36"/>
  <c r="G2259" i="36"/>
  <c r="E2259" i="36"/>
  <c r="I2258" i="36"/>
  <c r="G2258" i="36"/>
  <c r="E2258" i="36"/>
  <c r="I2257" i="36"/>
  <c r="G2257" i="36"/>
  <c r="E2257" i="36"/>
  <c r="I2256" i="36"/>
  <c r="G2256" i="36"/>
  <c r="E2256" i="36"/>
  <c r="I2255" i="36"/>
  <c r="G2255" i="36"/>
  <c r="E2255" i="36"/>
  <c r="I2254" i="36"/>
  <c r="G2254" i="36"/>
  <c r="E2254" i="36"/>
  <c r="I2253" i="36"/>
  <c r="G2253" i="36"/>
  <c r="E2253" i="36"/>
  <c r="I2252" i="36"/>
  <c r="G2252" i="36"/>
  <c r="E2252" i="36"/>
  <c r="I2251" i="36"/>
  <c r="G2251" i="36"/>
  <c r="E2251" i="36"/>
  <c r="I2250" i="36"/>
  <c r="G2250" i="36"/>
  <c r="E2250" i="36"/>
  <c r="I2249" i="36"/>
  <c r="G2249" i="36"/>
  <c r="E2249" i="36"/>
  <c r="I2248" i="36"/>
  <c r="G2248" i="36"/>
  <c r="E2248" i="36"/>
  <c r="I2247" i="36"/>
  <c r="G2247" i="36"/>
  <c r="E2247" i="36"/>
  <c r="I2246" i="36"/>
  <c r="G2246" i="36"/>
  <c r="E2246" i="36"/>
  <c r="I2245" i="36"/>
  <c r="G2245" i="36"/>
  <c r="E2245" i="36"/>
  <c r="I2244" i="36"/>
  <c r="G2244" i="36"/>
  <c r="E2244" i="36"/>
  <c r="I2243" i="36"/>
  <c r="G2243" i="36"/>
  <c r="E2243" i="36"/>
  <c r="I2242" i="36"/>
  <c r="G2242" i="36"/>
  <c r="E2242" i="36"/>
  <c r="I2241" i="36"/>
  <c r="G2241" i="36"/>
  <c r="E2241" i="36"/>
  <c r="I2240" i="36"/>
  <c r="G2240" i="36"/>
  <c r="E2240" i="36"/>
  <c r="I2239" i="36"/>
  <c r="G2239" i="36"/>
  <c r="E2239" i="36"/>
  <c r="I2238" i="36"/>
  <c r="G2238" i="36"/>
  <c r="E2238" i="36"/>
  <c r="I2237" i="36"/>
  <c r="G2237" i="36"/>
  <c r="E2237" i="36"/>
  <c r="I2236" i="36"/>
  <c r="G2236" i="36"/>
  <c r="E2236" i="36"/>
  <c r="I2235" i="36"/>
  <c r="G2235" i="36"/>
  <c r="E2235" i="36"/>
  <c r="I2234" i="36"/>
  <c r="G2234" i="36"/>
  <c r="E2234" i="36"/>
  <c r="I2233" i="36"/>
  <c r="G2233" i="36"/>
  <c r="E2233" i="36"/>
  <c r="I2232" i="36"/>
  <c r="G2232" i="36"/>
  <c r="E2232" i="36"/>
  <c r="I2231" i="36"/>
  <c r="G2231" i="36"/>
  <c r="E2231" i="36"/>
  <c r="I2230" i="36"/>
  <c r="G2230" i="36"/>
  <c r="E2230" i="36"/>
  <c r="I2229" i="36"/>
  <c r="G2229" i="36"/>
  <c r="E2229" i="36"/>
  <c r="I2228" i="36"/>
  <c r="G2228" i="36"/>
  <c r="E2228" i="36"/>
  <c r="I2227" i="36"/>
  <c r="G2227" i="36"/>
  <c r="E2227" i="36"/>
  <c r="I2226" i="36"/>
  <c r="G2226" i="36"/>
  <c r="E2226" i="36"/>
  <c r="I2225" i="36"/>
  <c r="G2225" i="36"/>
  <c r="E2225" i="36"/>
  <c r="I2224" i="36"/>
  <c r="G2224" i="36"/>
  <c r="E2224" i="36"/>
  <c r="I2223" i="36"/>
  <c r="G2223" i="36"/>
  <c r="E2223" i="36"/>
  <c r="I2222" i="36"/>
  <c r="G2222" i="36"/>
  <c r="E2222" i="36"/>
  <c r="I2221" i="36"/>
  <c r="G2221" i="36"/>
  <c r="E2221" i="36"/>
  <c r="I2220" i="36"/>
  <c r="G2220" i="36"/>
  <c r="E2220" i="36"/>
  <c r="I2219" i="36"/>
  <c r="G2219" i="36"/>
  <c r="E2219" i="36"/>
  <c r="I2218" i="36"/>
  <c r="G2218" i="36"/>
  <c r="E2218" i="36"/>
  <c r="I2217" i="36"/>
  <c r="G2217" i="36"/>
  <c r="E2217" i="36"/>
  <c r="I2216" i="36"/>
  <c r="G2216" i="36"/>
  <c r="E2216" i="36"/>
  <c r="I2215" i="36"/>
  <c r="G2215" i="36"/>
  <c r="E2215" i="36"/>
  <c r="I2214" i="36"/>
  <c r="G2214" i="36"/>
  <c r="E2214" i="36"/>
  <c r="I2213" i="36"/>
  <c r="G2213" i="36"/>
  <c r="E2213" i="36"/>
  <c r="I2212" i="36"/>
  <c r="G2212" i="36"/>
  <c r="E2212" i="36"/>
  <c r="I2211" i="36"/>
  <c r="G2211" i="36"/>
  <c r="E2211" i="36"/>
  <c r="I2210" i="36"/>
  <c r="G2210" i="36"/>
  <c r="E2210" i="36"/>
  <c r="I2209" i="36"/>
  <c r="G2209" i="36"/>
  <c r="E2209" i="36"/>
  <c r="I2208" i="36"/>
  <c r="G2208" i="36"/>
  <c r="E2208" i="36"/>
  <c r="I2207" i="36"/>
  <c r="G2207" i="36"/>
  <c r="E2207" i="36"/>
  <c r="I2206" i="36"/>
  <c r="G2206" i="36"/>
  <c r="E2206" i="36"/>
  <c r="I2205" i="36"/>
  <c r="G2205" i="36"/>
  <c r="E2205" i="36"/>
  <c r="I2204" i="36"/>
  <c r="G2204" i="36"/>
  <c r="E2204" i="36"/>
  <c r="I2203" i="36"/>
  <c r="G2203" i="36"/>
  <c r="E2203" i="36"/>
  <c r="I2202" i="36"/>
  <c r="G2202" i="36"/>
  <c r="E2202" i="36"/>
  <c r="I2201" i="36"/>
  <c r="G2201" i="36"/>
  <c r="E2201" i="36"/>
  <c r="I2200" i="36"/>
  <c r="G2200" i="36"/>
  <c r="E2200" i="36"/>
  <c r="I2199" i="36"/>
  <c r="G2199" i="36"/>
  <c r="E2199" i="36"/>
  <c r="I2198" i="36"/>
  <c r="G2198" i="36"/>
  <c r="E2198" i="36"/>
  <c r="I2197" i="36"/>
  <c r="G2197" i="36"/>
  <c r="E2197" i="36"/>
  <c r="I2196" i="36"/>
  <c r="G2196" i="36"/>
  <c r="E2196" i="36"/>
  <c r="I2195" i="36"/>
  <c r="G2195" i="36"/>
  <c r="E2195" i="36"/>
  <c r="I2194" i="36"/>
  <c r="G2194" i="36"/>
  <c r="E2194" i="36"/>
  <c r="I2193" i="36"/>
  <c r="G2193" i="36"/>
  <c r="E2193" i="36"/>
  <c r="I2192" i="36"/>
  <c r="G2192" i="36"/>
  <c r="E2192" i="36"/>
  <c r="I2191" i="36"/>
  <c r="G2191" i="36"/>
  <c r="E2191" i="36"/>
  <c r="I2190" i="36"/>
  <c r="G2190" i="36"/>
  <c r="E2190" i="36"/>
  <c r="I2189" i="36"/>
  <c r="G2189" i="36"/>
  <c r="E2189" i="36"/>
  <c r="I2188" i="36"/>
  <c r="G2188" i="36"/>
  <c r="E2188" i="36"/>
  <c r="I2187" i="36"/>
  <c r="G2187" i="36"/>
  <c r="E2187" i="36"/>
  <c r="I2186" i="36"/>
  <c r="G2186" i="36"/>
  <c r="E2186" i="36"/>
  <c r="I2185" i="36"/>
  <c r="G2185" i="36"/>
  <c r="E2185" i="36"/>
  <c r="I2184" i="36"/>
  <c r="G2184" i="36"/>
  <c r="E2184" i="36"/>
  <c r="I2183" i="36"/>
  <c r="G2183" i="36"/>
  <c r="E2183" i="36"/>
  <c r="I2182" i="36"/>
  <c r="G2182" i="36"/>
  <c r="E2182" i="36"/>
  <c r="I2181" i="36"/>
  <c r="G2181" i="36"/>
  <c r="E2181" i="36"/>
  <c r="I2180" i="36"/>
  <c r="G2180" i="36"/>
  <c r="E2180" i="36"/>
  <c r="I2179" i="36"/>
  <c r="G2179" i="36"/>
  <c r="E2179" i="36"/>
  <c r="I2178" i="36"/>
  <c r="G2178" i="36"/>
  <c r="E2178" i="36"/>
  <c r="I2177" i="36"/>
  <c r="G2177" i="36"/>
  <c r="E2177" i="36"/>
  <c r="I2176" i="36"/>
  <c r="G2176" i="36"/>
  <c r="E2176" i="36"/>
  <c r="I2175" i="36"/>
  <c r="G2175" i="36"/>
  <c r="E2175" i="36"/>
  <c r="I2174" i="36"/>
  <c r="G2174" i="36"/>
  <c r="E2174" i="36"/>
  <c r="I2173" i="36"/>
  <c r="G2173" i="36"/>
  <c r="E2173" i="36"/>
  <c r="I2172" i="36"/>
  <c r="G2172" i="36"/>
  <c r="E2172" i="36"/>
  <c r="I2171" i="36"/>
  <c r="G2171" i="36"/>
  <c r="E2171" i="36"/>
  <c r="I2170" i="36"/>
  <c r="G2170" i="36"/>
  <c r="E2170" i="36"/>
  <c r="I2169" i="36"/>
  <c r="G2169" i="36"/>
  <c r="E2169" i="36"/>
  <c r="I2168" i="36"/>
  <c r="G2168" i="36"/>
  <c r="E2168" i="36"/>
  <c r="I2167" i="36"/>
  <c r="G2167" i="36"/>
  <c r="E2167" i="36"/>
  <c r="I2166" i="36"/>
  <c r="G2166" i="36"/>
  <c r="E2166" i="36"/>
  <c r="I2165" i="36"/>
  <c r="G2165" i="36"/>
  <c r="E2165" i="36"/>
  <c r="I2164" i="36"/>
  <c r="G2164" i="36"/>
  <c r="E2164" i="36"/>
  <c r="I2163" i="36"/>
  <c r="G2163" i="36"/>
  <c r="E2163" i="36"/>
  <c r="I2162" i="36"/>
  <c r="G2162" i="36"/>
  <c r="E2162" i="36"/>
  <c r="I2161" i="36"/>
  <c r="G2161" i="36"/>
  <c r="E2161" i="36"/>
  <c r="I2160" i="36"/>
  <c r="G2160" i="36"/>
  <c r="E2160" i="36"/>
  <c r="I2159" i="36"/>
  <c r="G2159" i="36"/>
  <c r="E2159" i="36"/>
  <c r="I2158" i="36"/>
  <c r="G2158" i="36"/>
  <c r="E2158" i="36"/>
  <c r="I2157" i="36"/>
  <c r="G2157" i="36"/>
  <c r="E2157" i="36"/>
  <c r="I2156" i="36"/>
  <c r="G2156" i="36"/>
  <c r="E2156" i="36"/>
  <c r="I2155" i="36"/>
  <c r="G2155" i="36"/>
  <c r="E2155" i="36"/>
  <c r="I2154" i="36"/>
  <c r="G2154" i="36"/>
  <c r="E2154" i="36"/>
  <c r="I2153" i="36"/>
  <c r="G2153" i="36"/>
  <c r="E2153" i="36"/>
  <c r="I2152" i="36"/>
  <c r="G2152" i="36"/>
  <c r="E2152" i="36"/>
  <c r="I2151" i="36"/>
  <c r="G2151" i="36"/>
  <c r="E2151" i="36"/>
  <c r="I2150" i="36"/>
  <c r="G2150" i="36"/>
  <c r="E2150" i="36"/>
  <c r="I2149" i="36"/>
  <c r="G2149" i="36"/>
  <c r="E2149" i="36"/>
  <c r="I2148" i="36"/>
  <c r="G2148" i="36"/>
  <c r="E2148" i="36"/>
  <c r="I2147" i="36"/>
  <c r="G2147" i="36"/>
  <c r="E2147" i="36"/>
  <c r="I2146" i="36"/>
  <c r="G2146" i="36"/>
  <c r="E2146" i="36"/>
  <c r="I2145" i="36"/>
  <c r="G2145" i="36"/>
  <c r="E2145" i="36"/>
  <c r="I2144" i="36"/>
  <c r="G2144" i="36"/>
  <c r="E2144" i="36"/>
  <c r="I2143" i="36"/>
  <c r="G2143" i="36"/>
  <c r="E2143" i="36"/>
  <c r="I2142" i="36"/>
  <c r="G2142" i="36"/>
  <c r="E2142" i="36"/>
  <c r="I2141" i="36"/>
  <c r="G2141" i="36"/>
  <c r="E2141" i="36"/>
  <c r="I2140" i="36"/>
  <c r="G2140" i="36"/>
  <c r="E2140" i="36"/>
  <c r="I2139" i="36"/>
  <c r="G2139" i="36"/>
  <c r="E2139" i="36"/>
  <c r="I2138" i="36"/>
  <c r="G2138" i="36"/>
  <c r="E2138" i="36"/>
  <c r="I2137" i="36"/>
  <c r="G2137" i="36"/>
  <c r="E2137" i="36"/>
  <c r="I2136" i="36"/>
  <c r="G2136" i="36"/>
  <c r="E2136" i="36"/>
  <c r="I2135" i="36"/>
  <c r="G2135" i="36"/>
  <c r="E2135" i="36"/>
  <c r="I2134" i="36"/>
  <c r="G2134" i="36"/>
  <c r="E2134" i="36"/>
  <c r="I2133" i="36"/>
  <c r="G2133" i="36"/>
  <c r="E2133" i="36"/>
  <c r="I2132" i="36"/>
  <c r="G2132" i="36"/>
  <c r="E2132" i="36"/>
  <c r="I2131" i="36"/>
  <c r="G2131" i="36"/>
  <c r="E2131" i="36"/>
  <c r="I2130" i="36"/>
  <c r="G2130" i="36"/>
  <c r="E2130" i="36"/>
  <c r="I2129" i="36"/>
  <c r="G2129" i="36"/>
  <c r="E2129" i="36"/>
  <c r="I2128" i="36"/>
  <c r="G2128" i="36"/>
  <c r="E2128" i="36"/>
  <c r="I2127" i="36"/>
  <c r="G2127" i="36"/>
  <c r="E2127" i="36"/>
  <c r="I2126" i="36"/>
  <c r="G2126" i="36"/>
  <c r="E2126" i="36"/>
  <c r="I2125" i="36"/>
  <c r="G2125" i="36"/>
  <c r="E2125" i="36"/>
  <c r="I2124" i="36"/>
  <c r="G2124" i="36"/>
  <c r="E2124" i="36"/>
  <c r="I2123" i="36"/>
  <c r="G2123" i="36"/>
  <c r="E2123" i="36"/>
  <c r="I2122" i="36"/>
  <c r="G2122" i="36"/>
  <c r="E2122" i="36"/>
  <c r="I2121" i="36"/>
  <c r="G2121" i="36"/>
  <c r="E2121" i="36"/>
  <c r="I2120" i="36"/>
  <c r="G2120" i="36"/>
  <c r="E2120" i="36"/>
  <c r="I2119" i="36"/>
  <c r="G2119" i="36"/>
  <c r="E2119" i="36"/>
  <c r="I2118" i="36"/>
  <c r="G2118" i="36"/>
  <c r="E2118" i="36"/>
  <c r="I2117" i="36"/>
  <c r="G2117" i="36"/>
  <c r="E2117" i="36"/>
  <c r="I2116" i="36"/>
  <c r="G2116" i="36"/>
  <c r="E2116" i="36"/>
  <c r="I2115" i="36"/>
  <c r="G2115" i="36"/>
  <c r="E2115" i="36"/>
  <c r="I2114" i="36"/>
  <c r="G2114" i="36"/>
  <c r="E2114" i="36"/>
  <c r="I2113" i="36"/>
  <c r="G2113" i="36"/>
  <c r="E2113" i="36"/>
  <c r="I2112" i="36"/>
  <c r="G2112" i="36"/>
  <c r="E2112" i="36"/>
  <c r="I2111" i="36"/>
  <c r="G2111" i="36"/>
  <c r="E2111" i="36"/>
  <c r="I2110" i="36"/>
  <c r="G2110" i="36"/>
  <c r="E2110" i="36"/>
  <c r="I2109" i="36"/>
  <c r="G2109" i="36"/>
  <c r="E2109" i="36"/>
  <c r="I2108" i="36"/>
  <c r="G2108" i="36"/>
  <c r="E2108" i="36"/>
  <c r="I2107" i="36"/>
  <c r="G2107" i="36"/>
  <c r="E2107" i="36"/>
  <c r="I2106" i="36"/>
  <c r="G2106" i="36"/>
  <c r="E2106" i="36"/>
  <c r="I2105" i="36"/>
  <c r="G2105" i="36"/>
  <c r="E2105" i="36"/>
  <c r="I2104" i="36"/>
  <c r="G2104" i="36"/>
  <c r="E2104" i="36"/>
  <c r="I2103" i="36"/>
  <c r="G2103" i="36"/>
  <c r="E2103" i="36"/>
  <c r="I2102" i="36"/>
  <c r="G2102" i="36"/>
  <c r="E2102" i="36"/>
  <c r="I2101" i="36"/>
  <c r="G2101" i="36"/>
  <c r="E2101" i="36"/>
  <c r="I2100" i="36"/>
  <c r="G2100" i="36"/>
  <c r="E2100" i="36"/>
  <c r="I2099" i="36"/>
  <c r="G2099" i="36"/>
  <c r="E2099" i="36"/>
  <c r="I2098" i="36"/>
  <c r="G2098" i="36"/>
  <c r="E2098" i="36"/>
  <c r="I2097" i="36"/>
  <c r="G2097" i="36"/>
  <c r="E2097" i="36"/>
  <c r="I2096" i="36"/>
  <c r="G2096" i="36"/>
  <c r="E2096" i="36"/>
  <c r="I2095" i="36"/>
  <c r="G2095" i="36"/>
  <c r="E2095" i="36"/>
  <c r="I2094" i="36"/>
  <c r="G2094" i="36"/>
  <c r="E2094" i="36"/>
  <c r="I2093" i="36"/>
  <c r="G2093" i="36"/>
  <c r="E2093" i="36"/>
  <c r="I2092" i="36"/>
  <c r="G2092" i="36"/>
  <c r="E2092" i="36"/>
  <c r="I2091" i="36"/>
  <c r="G2091" i="36"/>
  <c r="E2091" i="36"/>
  <c r="I2090" i="36"/>
  <c r="G2090" i="36"/>
  <c r="E2090" i="36"/>
  <c r="I2089" i="36"/>
  <c r="G2089" i="36"/>
  <c r="E2089" i="36"/>
  <c r="I2088" i="36"/>
  <c r="G2088" i="36"/>
  <c r="E2088" i="36"/>
  <c r="I2087" i="36"/>
  <c r="G2087" i="36"/>
  <c r="E2087" i="36"/>
  <c r="I2086" i="36"/>
  <c r="G2086" i="36"/>
  <c r="E2086" i="36"/>
  <c r="I2085" i="36"/>
  <c r="G2085" i="36"/>
  <c r="E2085" i="36"/>
  <c r="I2084" i="36"/>
  <c r="G2084" i="36"/>
  <c r="E2084" i="36"/>
  <c r="I2083" i="36"/>
  <c r="G2083" i="36"/>
  <c r="E2083" i="36"/>
  <c r="I2082" i="36"/>
  <c r="G2082" i="36"/>
  <c r="E2082" i="36"/>
  <c r="I2081" i="36"/>
  <c r="G2081" i="36"/>
  <c r="E2081" i="36"/>
  <c r="I2080" i="36"/>
  <c r="G2080" i="36"/>
  <c r="E2080" i="36"/>
  <c r="I2079" i="36"/>
  <c r="G2079" i="36"/>
  <c r="E2079" i="36"/>
  <c r="I2078" i="36"/>
  <c r="G2078" i="36"/>
  <c r="E2078" i="36"/>
  <c r="I2077" i="36"/>
  <c r="G2077" i="36"/>
  <c r="E2077" i="36"/>
  <c r="I2076" i="36"/>
  <c r="G2076" i="36"/>
  <c r="E2076" i="36"/>
  <c r="I2075" i="36"/>
  <c r="G2075" i="36"/>
  <c r="E2075" i="36"/>
  <c r="I2074" i="36"/>
  <c r="G2074" i="36"/>
  <c r="E2074" i="36"/>
  <c r="I2073" i="36"/>
  <c r="G2073" i="36"/>
  <c r="E2073" i="36"/>
  <c r="I2072" i="36"/>
  <c r="G2072" i="36"/>
  <c r="E2072" i="36"/>
  <c r="I2071" i="36"/>
  <c r="G2071" i="36"/>
  <c r="E2071" i="36"/>
  <c r="I2070" i="36"/>
  <c r="G2070" i="36"/>
  <c r="E2070" i="36"/>
  <c r="I2069" i="36"/>
  <c r="G2069" i="36"/>
  <c r="E2069" i="36"/>
  <c r="I2068" i="36"/>
  <c r="G2068" i="36"/>
  <c r="E2068" i="36"/>
  <c r="I2067" i="36"/>
  <c r="G2067" i="36"/>
  <c r="E2067" i="36"/>
  <c r="I2066" i="36"/>
  <c r="G2066" i="36"/>
  <c r="E2066" i="36"/>
  <c r="I2065" i="36"/>
  <c r="G2065" i="36"/>
  <c r="E2065" i="36"/>
  <c r="I2064" i="36"/>
  <c r="G2064" i="36"/>
  <c r="E2064" i="36"/>
  <c r="I2063" i="36"/>
  <c r="G2063" i="36"/>
  <c r="E2063" i="36"/>
  <c r="I2062" i="36"/>
  <c r="G2062" i="36"/>
  <c r="E2062" i="36"/>
  <c r="I2061" i="36"/>
  <c r="G2061" i="36"/>
  <c r="E2061" i="36"/>
  <c r="I2060" i="36"/>
  <c r="G2060" i="36"/>
  <c r="E2060" i="36"/>
  <c r="I2059" i="36"/>
  <c r="G2059" i="36"/>
  <c r="E2059" i="36"/>
  <c r="I2058" i="36"/>
  <c r="G2058" i="36"/>
  <c r="E2058" i="36"/>
  <c r="I2057" i="36"/>
  <c r="G2057" i="36"/>
  <c r="E2057" i="36"/>
  <c r="I2056" i="36"/>
  <c r="G2056" i="36"/>
  <c r="E2056" i="36"/>
  <c r="I2055" i="36"/>
  <c r="G2055" i="36"/>
  <c r="E2055" i="36"/>
  <c r="I2054" i="36"/>
  <c r="G2054" i="36"/>
  <c r="E2054" i="36"/>
  <c r="I2053" i="36"/>
  <c r="G2053" i="36"/>
  <c r="E2053" i="36"/>
  <c r="I2052" i="36"/>
  <c r="G2052" i="36"/>
  <c r="E2052" i="36"/>
  <c r="I2051" i="36"/>
  <c r="G2051" i="36"/>
  <c r="E2051" i="36"/>
  <c r="I2050" i="36"/>
  <c r="G2050" i="36"/>
  <c r="E2050" i="36"/>
  <c r="I2049" i="36"/>
  <c r="G2049" i="36"/>
  <c r="E2049" i="36"/>
  <c r="I2048" i="36"/>
  <c r="G2048" i="36"/>
  <c r="E2048" i="36"/>
  <c r="I2047" i="36"/>
  <c r="G2047" i="36"/>
  <c r="E2047" i="36"/>
  <c r="I2046" i="36"/>
  <c r="G2046" i="36"/>
  <c r="E2046" i="36"/>
  <c r="I2045" i="36"/>
  <c r="G2045" i="36"/>
  <c r="E2045" i="36"/>
  <c r="I2044" i="36"/>
  <c r="G2044" i="36"/>
  <c r="E2044" i="36"/>
  <c r="I2043" i="36"/>
  <c r="G2043" i="36"/>
  <c r="E2043" i="36"/>
  <c r="I2042" i="36"/>
  <c r="G2042" i="36"/>
  <c r="E2042" i="36"/>
  <c r="I2041" i="36"/>
  <c r="G2041" i="36"/>
  <c r="E2041" i="36"/>
  <c r="I2040" i="36"/>
  <c r="G2040" i="36"/>
  <c r="E2040" i="36"/>
  <c r="I2039" i="36"/>
  <c r="G2039" i="36"/>
  <c r="E2039" i="36"/>
  <c r="I2038" i="36"/>
  <c r="G2038" i="36"/>
  <c r="E2038" i="36"/>
  <c r="I2037" i="36"/>
  <c r="G2037" i="36"/>
  <c r="E2037" i="36"/>
  <c r="I2036" i="36"/>
  <c r="G2036" i="36"/>
  <c r="E2036" i="36"/>
  <c r="I2035" i="36"/>
  <c r="G2035" i="36"/>
  <c r="E2035" i="36"/>
  <c r="I2034" i="36"/>
  <c r="G2034" i="36"/>
  <c r="E2034" i="36"/>
  <c r="I2033" i="36"/>
  <c r="G2033" i="36"/>
  <c r="E2033" i="36"/>
  <c r="I2032" i="36"/>
  <c r="G2032" i="36"/>
  <c r="E2032" i="36"/>
  <c r="I2031" i="36"/>
  <c r="G2031" i="36"/>
  <c r="E2031" i="36"/>
  <c r="I2030" i="36"/>
  <c r="G2030" i="36"/>
  <c r="E2030" i="36"/>
  <c r="I2029" i="36"/>
  <c r="G2029" i="36"/>
  <c r="E2029" i="36"/>
  <c r="I2028" i="36"/>
  <c r="G2028" i="36"/>
  <c r="E2028" i="36"/>
  <c r="I2027" i="36"/>
  <c r="G2027" i="36"/>
  <c r="E2027" i="36"/>
  <c r="I2026" i="36"/>
  <c r="G2026" i="36"/>
  <c r="E2026" i="36"/>
  <c r="I2025" i="36"/>
  <c r="G2025" i="36"/>
  <c r="E2025" i="36"/>
  <c r="I2024" i="36"/>
  <c r="G2024" i="36"/>
  <c r="E2024" i="36"/>
  <c r="I2023" i="36"/>
  <c r="G2023" i="36"/>
  <c r="E2023" i="36"/>
  <c r="I2022" i="36"/>
  <c r="G2022" i="36"/>
  <c r="E2022" i="36"/>
  <c r="I2021" i="36"/>
  <c r="G2021" i="36"/>
  <c r="E2021" i="36"/>
  <c r="I2020" i="36"/>
  <c r="G2020" i="36"/>
  <c r="E2020" i="36"/>
  <c r="I2019" i="36"/>
  <c r="G2019" i="36"/>
  <c r="E2019" i="36"/>
  <c r="I2018" i="36"/>
  <c r="G2018" i="36"/>
  <c r="E2018" i="36"/>
  <c r="I2017" i="36"/>
  <c r="G2017" i="36"/>
  <c r="E2017" i="36"/>
  <c r="I2016" i="36"/>
  <c r="G2016" i="36"/>
  <c r="E2016" i="36"/>
  <c r="I2015" i="36"/>
  <c r="G2015" i="36"/>
  <c r="E2015" i="36"/>
  <c r="I2014" i="36"/>
  <c r="G2014" i="36"/>
  <c r="E2014" i="36"/>
  <c r="I2013" i="36"/>
  <c r="G2013" i="36"/>
  <c r="E2013" i="36"/>
  <c r="I2012" i="36"/>
  <c r="G2012" i="36"/>
  <c r="E2012" i="36"/>
  <c r="I2011" i="36"/>
  <c r="G2011" i="36"/>
  <c r="E2011" i="36"/>
  <c r="I2010" i="36"/>
  <c r="G2010" i="36"/>
  <c r="E2010" i="36"/>
  <c r="I2009" i="36"/>
  <c r="G2009" i="36"/>
  <c r="E2009" i="36"/>
  <c r="I2008" i="36"/>
  <c r="G2008" i="36"/>
  <c r="E2008" i="36"/>
  <c r="I2007" i="36"/>
  <c r="G2007" i="36"/>
  <c r="E2007" i="36"/>
  <c r="I2006" i="36"/>
  <c r="G2006" i="36"/>
  <c r="E2006" i="36"/>
  <c r="I2005" i="36"/>
  <c r="G2005" i="36"/>
  <c r="E2005" i="36"/>
  <c r="I2004" i="36"/>
  <c r="G2004" i="36"/>
  <c r="E2004" i="36"/>
  <c r="I2003" i="36"/>
  <c r="G2003" i="36"/>
  <c r="E2003" i="36"/>
  <c r="I2002" i="36"/>
  <c r="G2002" i="36"/>
  <c r="E2002" i="36"/>
  <c r="I2001" i="36"/>
  <c r="G2001" i="36"/>
  <c r="E2001" i="36"/>
  <c r="I2000" i="36"/>
  <c r="G2000" i="36"/>
  <c r="E2000" i="36"/>
  <c r="I1999" i="36"/>
  <c r="G1999" i="36"/>
  <c r="E1999" i="36"/>
  <c r="I1998" i="36"/>
  <c r="G1998" i="36"/>
  <c r="E1998" i="36"/>
  <c r="I1997" i="36"/>
  <c r="G1997" i="36"/>
  <c r="E1997" i="36"/>
  <c r="I1996" i="36"/>
  <c r="G1996" i="36"/>
  <c r="E1996" i="36"/>
  <c r="I1995" i="36"/>
  <c r="G1995" i="36"/>
  <c r="E1995" i="36"/>
  <c r="I1994" i="36"/>
  <c r="G1994" i="36"/>
  <c r="E1994" i="36"/>
  <c r="I1993" i="36"/>
  <c r="G1993" i="36"/>
  <c r="E1993" i="36"/>
  <c r="I1992" i="36"/>
  <c r="G1992" i="36"/>
  <c r="E1992" i="36"/>
  <c r="I1991" i="36"/>
  <c r="G1991" i="36"/>
  <c r="E1991" i="36"/>
  <c r="I1990" i="36"/>
  <c r="G1990" i="36"/>
  <c r="E1990" i="36"/>
  <c r="I1989" i="36"/>
  <c r="G1989" i="36"/>
  <c r="E1989" i="36"/>
  <c r="I1988" i="36"/>
  <c r="G1988" i="36"/>
  <c r="E1988" i="36"/>
  <c r="I1987" i="36"/>
  <c r="G1987" i="36"/>
  <c r="E1987" i="36"/>
  <c r="I1986" i="36"/>
  <c r="G1986" i="36"/>
  <c r="E1986" i="36"/>
  <c r="I1985" i="36"/>
  <c r="G1985" i="36"/>
  <c r="E1985" i="36"/>
  <c r="I1984" i="36"/>
  <c r="G1984" i="36"/>
  <c r="E1984" i="36"/>
  <c r="I1983" i="36"/>
  <c r="G1983" i="36"/>
  <c r="E1983" i="36"/>
  <c r="I1982" i="36"/>
  <c r="G1982" i="36"/>
  <c r="E1982" i="36"/>
  <c r="I1981" i="36"/>
  <c r="G1981" i="36"/>
  <c r="E1981" i="36"/>
  <c r="I1980" i="36"/>
  <c r="G1980" i="36"/>
  <c r="E1980" i="36"/>
  <c r="I1979" i="36"/>
  <c r="G1979" i="36"/>
  <c r="E1979" i="36"/>
  <c r="I1978" i="36"/>
  <c r="G1978" i="36"/>
  <c r="E1978" i="36"/>
  <c r="I1977" i="36"/>
  <c r="G1977" i="36"/>
  <c r="E1977" i="36"/>
  <c r="I1976" i="36"/>
  <c r="G1976" i="36"/>
  <c r="E1976" i="36"/>
  <c r="I1975" i="36"/>
  <c r="G1975" i="36"/>
  <c r="E1975" i="36"/>
  <c r="I1974" i="36"/>
  <c r="G1974" i="36"/>
  <c r="E1974" i="36"/>
  <c r="I1973" i="36"/>
  <c r="G1973" i="36"/>
  <c r="E1973" i="36"/>
  <c r="I1972" i="36"/>
  <c r="G1972" i="36"/>
  <c r="E1972" i="36"/>
  <c r="I1971" i="36"/>
  <c r="G1971" i="36"/>
  <c r="E1971" i="36"/>
  <c r="I1970" i="36"/>
  <c r="G1970" i="36"/>
  <c r="E1970" i="36"/>
  <c r="I1969" i="36"/>
  <c r="G1969" i="36"/>
  <c r="E1969" i="36"/>
  <c r="I1968" i="36"/>
  <c r="G1968" i="36"/>
  <c r="E1968" i="36"/>
  <c r="I1967" i="36"/>
  <c r="G1967" i="36"/>
  <c r="E1967" i="36"/>
  <c r="I1966" i="36"/>
  <c r="G1966" i="36"/>
  <c r="E1966" i="36"/>
  <c r="I1965" i="36"/>
  <c r="G1965" i="36"/>
  <c r="E1965" i="36"/>
  <c r="I1964" i="36"/>
  <c r="G1964" i="36"/>
  <c r="E1964" i="36"/>
  <c r="I1963" i="36"/>
  <c r="G1963" i="36"/>
  <c r="E1963" i="36"/>
  <c r="I1962" i="36"/>
  <c r="G1962" i="36"/>
  <c r="E1962" i="36"/>
  <c r="I1961" i="36"/>
  <c r="G1961" i="36"/>
  <c r="E1961" i="36"/>
  <c r="I1960" i="36"/>
  <c r="G1960" i="36"/>
  <c r="E1960" i="36"/>
  <c r="I1959" i="36"/>
  <c r="G1959" i="36"/>
  <c r="E1959" i="36"/>
  <c r="I1958" i="36"/>
  <c r="G1958" i="36"/>
  <c r="E1958" i="36"/>
  <c r="I1957" i="36"/>
  <c r="G1957" i="36"/>
  <c r="E1957" i="36"/>
  <c r="I1956" i="36"/>
  <c r="G1956" i="36"/>
  <c r="E1956" i="36"/>
  <c r="I1955" i="36"/>
  <c r="G1955" i="36"/>
  <c r="E1955" i="36"/>
  <c r="I1954" i="36"/>
  <c r="G1954" i="36"/>
  <c r="E1954" i="36"/>
  <c r="I1953" i="36"/>
  <c r="G1953" i="36"/>
  <c r="E1953" i="36"/>
  <c r="I1952" i="36"/>
  <c r="G1952" i="36"/>
  <c r="E1952" i="36"/>
  <c r="I1951" i="36"/>
  <c r="G1951" i="36"/>
  <c r="E1951" i="36"/>
  <c r="I1950" i="36"/>
  <c r="G1950" i="36"/>
  <c r="E1950" i="36"/>
  <c r="I1949" i="36"/>
  <c r="G1949" i="36"/>
  <c r="E1949" i="36"/>
  <c r="I1948" i="36"/>
  <c r="G1948" i="36"/>
  <c r="E1948" i="36"/>
  <c r="I1947" i="36"/>
  <c r="G1947" i="36"/>
  <c r="E1947" i="36"/>
  <c r="I1946" i="36"/>
  <c r="G1946" i="36"/>
  <c r="E1946" i="36"/>
  <c r="I1945" i="36"/>
  <c r="G1945" i="36"/>
  <c r="E1945" i="36"/>
  <c r="I1944" i="36"/>
  <c r="G1944" i="36"/>
  <c r="E1944" i="36"/>
  <c r="I1943" i="36"/>
  <c r="G1943" i="36"/>
  <c r="E1943" i="36"/>
  <c r="I1942" i="36"/>
  <c r="G1942" i="36"/>
  <c r="E1942" i="36"/>
  <c r="I1941" i="36"/>
  <c r="G1941" i="36"/>
  <c r="E1941" i="36"/>
  <c r="I1940" i="36"/>
  <c r="G1940" i="36"/>
  <c r="E1940" i="36"/>
  <c r="I1939" i="36"/>
  <c r="G1939" i="36"/>
  <c r="E1939" i="36"/>
  <c r="I1938" i="36"/>
  <c r="G1938" i="36"/>
  <c r="E1938" i="36"/>
  <c r="I1937" i="36"/>
  <c r="G1937" i="36"/>
  <c r="E1937" i="36"/>
  <c r="I1936" i="36"/>
  <c r="G1936" i="36"/>
  <c r="E1936" i="36"/>
  <c r="I1935" i="36"/>
  <c r="G1935" i="36"/>
  <c r="E1935" i="36"/>
  <c r="I1934" i="36"/>
  <c r="G1934" i="36"/>
  <c r="E1934" i="36"/>
  <c r="I1933" i="36"/>
  <c r="G1933" i="36"/>
  <c r="E1933" i="36"/>
  <c r="I1932" i="36"/>
  <c r="G1932" i="36"/>
  <c r="E1932" i="36"/>
  <c r="I1931" i="36"/>
  <c r="G1931" i="36"/>
  <c r="E1931" i="36"/>
  <c r="I1930" i="36"/>
  <c r="G1930" i="36"/>
  <c r="E1930" i="36"/>
  <c r="I1929" i="36"/>
  <c r="G1929" i="36"/>
  <c r="E1929" i="36"/>
  <c r="I1928" i="36"/>
  <c r="G1928" i="36"/>
  <c r="E1928" i="36"/>
  <c r="I1927" i="36"/>
  <c r="G1927" i="36"/>
  <c r="E1927" i="36"/>
  <c r="I1926" i="36"/>
  <c r="G1926" i="36"/>
  <c r="E1926" i="36"/>
  <c r="I1925" i="36"/>
  <c r="G1925" i="36"/>
  <c r="E1925" i="36"/>
  <c r="I1924" i="36"/>
  <c r="G1924" i="36"/>
  <c r="E1924" i="36"/>
  <c r="I1923" i="36"/>
  <c r="G1923" i="36"/>
  <c r="E1923" i="36"/>
  <c r="I1922" i="36"/>
  <c r="G1922" i="36"/>
  <c r="E1922" i="36"/>
  <c r="I1921" i="36"/>
  <c r="G1921" i="36"/>
  <c r="E1921" i="36"/>
  <c r="I1920" i="36"/>
  <c r="G1920" i="36"/>
  <c r="E1920" i="36"/>
  <c r="I1919" i="36"/>
  <c r="G1919" i="36"/>
  <c r="E1919" i="36"/>
  <c r="I1918" i="36"/>
  <c r="G1918" i="36"/>
  <c r="E1918" i="36"/>
  <c r="I1917" i="36"/>
  <c r="G1917" i="36"/>
  <c r="E1917" i="36"/>
  <c r="I1916" i="36"/>
  <c r="G1916" i="36"/>
  <c r="E1916" i="36"/>
  <c r="I1915" i="36"/>
  <c r="G1915" i="36"/>
  <c r="E1915" i="36"/>
  <c r="I1914" i="36"/>
  <c r="G1914" i="36"/>
  <c r="E1914" i="36"/>
  <c r="I1913" i="36"/>
  <c r="G1913" i="36"/>
  <c r="E1913" i="36"/>
  <c r="I1912" i="36"/>
  <c r="G1912" i="36"/>
  <c r="E1912" i="36"/>
  <c r="I1911" i="36"/>
  <c r="G1911" i="36"/>
  <c r="E1911" i="36"/>
  <c r="I1910" i="36"/>
  <c r="G1910" i="36"/>
  <c r="E1910" i="36"/>
  <c r="I1909" i="36"/>
  <c r="G1909" i="36"/>
  <c r="E1909" i="36"/>
  <c r="I1908" i="36"/>
  <c r="G1908" i="36"/>
  <c r="E1908" i="36"/>
  <c r="I1907" i="36"/>
  <c r="G1907" i="36"/>
  <c r="E1907" i="36"/>
  <c r="I1906" i="36"/>
  <c r="G1906" i="36"/>
  <c r="E1906" i="36"/>
  <c r="I1905" i="36"/>
  <c r="G1905" i="36"/>
  <c r="E1905" i="36"/>
  <c r="I1904" i="36"/>
  <c r="G1904" i="36"/>
  <c r="E1904" i="36"/>
  <c r="I1903" i="36"/>
  <c r="G1903" i="36"/>
  <c r="E1903" i="36"/>
  <c r="I1902" i="36"/>
  <c r="G1902" i="36"/>
  <c r="E1902" i="36"/>
  <c r="I1901" i="36"/>
  <c r="G1901" i="36"/>
  <c r="E1901" i="36"/>
  <c r="I1900" i="36"/>
  <c r="G1900" i="36"/>
  <c r="E1900" i="36"/>
  <c r="I1899" i="36"/>
  <c r="G1899" i="36"/>
  <c r="E1899" i="36"/>
  <c r="I1898" i="36"/>
  <c r="G1898" i="36"/>
  <c r="E1898" i="36"/>
  <c r="I1897" i="36"/>
  <c r="G1897" i="36"/>
  <c r="E1897" i="36"/>
  <c r="I1896" i="36"/>
  <c r="G1896" i="36"/>
  <c r="E1896" i="36"/>
  <c r="I1895" i="36"/>
  <c r="G1895" i="36"/>
  <c r="E1895" i="36"/>
  <c r="I1894" i="36"/>
  <c r="G1894" i="36"/>
  <c r="E1894" i="36"/>
  <c r="I1893" i="36"/>
  <c r="G1893" i="36"/>
  <c r="E1893" i="36"/>
  <c r="I1892" i="36"/>
  <c r="G1892" i="36"/>
  <c r="E1892" i="36"/>
  <c r="I1891" i="36"/>
  <c r="G1891" i="36"/>
  <c r="E1891" i="36"/>
  <c r="I1890" i="36"/>
  <c r="G1890" i="36"/>
  <c r="E1890" i="36"/>
  <c r="I1889" i="36"/>
  <c r="G1889" i="36"/>
  <c r="E1889" i="36"/>
  <c r="I1888" i="36"/>
  <c r="G1888" i="36"/>
  <c r="E1888" i="36"/>
  <c r="I1887" i="36"/>
  <c r="G1887" i="36"/>
  <c r="E1887" i="36"/>
  <c r="I1886" i="36"/>
  <c r="G1886" i="36"/>
  <c r="E1886" i="36"/>
  <c r="I1885" i="36"/>
  <c r="G1885" i="36"/>
  <c r="E1885" i="36"/>
  <c r="I1884" i="36"/>
  <c r="G1884" i="36"/>
  <c r="E1884" i="36"/>
  <c r="I1883" i="36"/>
  <c r="G1883" i="36"/>
  <c r="E1883" i="36"/>
  <c r="I1882" i="36"/>
  <c r="G1882" i="36"/>
  <c r="E1882" i="36"/>
  <c r="I1881" i="36"/>
  <c r="G1881" i="36"/>
  <c r="E1881" i="36"/>
  <c r="I1880" i="36"/>
  <c r="G1880" i="36"/>
  <c r="E1880" i="36"/>
  <c r="I1879" i="36"/>
  <c r="G1879" i="36"/>
  <c r="E1879" i="36"/>
  <c r="I1878" i="36"/>
  <c r="G1878" i="36"/>
  <c r="E1878" i="36"/>
  <c r="I1877" i="36"/>
  <c r="G1877" i="36"/>
  <c r="E1877" i="36"/>
  <c r="I1876" i="36"/>
  <c r="G1876" i="36"/>
  <c r="E1876" i="36"/>
  <c r="I1875" i="36"/>
  <c r="G1875" i="36"/>
  <c r="E1875" i="36"/>
  <c r="I1874" i="36"/>
  <c r="G1874" i="36"/>
  <c r="E1874" i="36"/>
  <c r="I1873" i="36"/>
  <c r="G1873" i="36"/>
  <c r="E1873" i="36"/>
  <c r="I1872" i="36"/>
  <c r="G1872" i="36"/>
  <c r="E1872" i="36"/>
  <c r="I1871" i="36"/>
  <c r="G1871" i="36"/>
  <c r="E1871" i="36"/>
  <c r="I1870" i="36"/>
  <c r="G1870" i="36"/>
  <c r="E1870" i="36"/>
  <c r="I1869" i="36"/>
  <c r="G1869" i="36"/>
  <c r="E1869" i="36"/>
  <c r="I1868" i="36"/>
  <c r="G1868" i="36"/>
  <c r="E1868" i="36"/>
  <c r="I1867" i="36"/>
  <c r="G1867" i="36"/>
  <c r="E1867" i="36"/>
  <c r="I1866" i="36"/>
  <c r="G1866" i="36"/>
  <c r="E1866" i="36"/>
  <c r="I1865" i="36"/>
  <c r="G1865" i="36"/>
  <c r="E1865" i="36"/>
  <c r="I1864" i="36"/>
  <c r="G1864" i="36"/>
  <c r="E1864" i="36"/>
  <c r="I1863" i="36"/>
  <c r="G1863" i="36"/>
  <c r="E1863" i="36"/>
  <c r="I1862" i="36"/>
  <c r="G1862" i="36"/>
  <c r="E1862" i="36"/>
  <c r="I1861" i="36"/>
  <c r="G1861" i="36"/>
  <c r="E1861" i="36"/>
  <c r="I1860" i="36"/>
  <c r="G1860" i="36"/>
  <c r="E1860" i="36"/>
  <c r="I1859" i="36"/>
  <c r="G1859" i="36"/>
  <c r="E1859" i="36"/>
  <c r="I1858" i="36"/>
  <c r="G1858" i="36"/>
  <c r="E1858" i="36"/>
  <c r="I1857" i="36"/>
  <c r="G1857" i="36"/>
  <c r="E1857" i="36"/>
  <c r="I1856" i="36"/>
  <c r="G1856" i="36"/>
  <c r="E1856" i="36"/>
  <c r="I1855" i="36"/>
  <c r="G1855" i="36"/>
  <c r="E1855" i="36"/>
  <c r="I1854" i="36"/>
  <c r="G1854" i="36"/>
  <c r="E1854" i="36"/>
  <c r="I1853" i="36"/>
  <c r="G1853" i="36"/>
  <c r="E1853" i="36"/>
  <c r="I1852" i="36"/>
  <c r="G1852" i="36"/>
  <c r="E1852" i="36"/>
  <c r="I1851" i="36"/>
  <c r="G1851" i="36"/>
  <c r="E1851" i="36"/>
  <c r="I1850" i="36"/>
  <c r="G1850" i="36"/>
  <c r="E1850" i="36"/>
  <c r="I1849" i="36"/>
  <c r="G1849" i="36"/>
  <c r="E1849" i="36"/>
  <c r="I1848" i="36"/>
  <c r="G1848" i="36"/>
  <c r="E1848" i="36"/>
  <c r="I1847" i="36"/>
  <c r="G1847" i="36"/>
  <c r="E1847" i="36"/>
  <c r="I1846" i="36"/>
  <c r="G1846" i="36"/>
  <c r="E1846" i="36"/>
  <c r="I1845" i="36"/>
  <c r="G1845" i="36"/>
  <c r="E1845" i="36"/>
  <c r="I1844" i="36"/>
  <c r="G1844" i="36"/>
  <c r="E1844" i="36"/>
  <c r="I1843" i="36"/>
  <c r="G1843" i="36"/>
  <c r="E1843" i="36"/>
  <c r="I1842" i="36"/>
  <c r="G1842" i="36"/>
  <c r="E1842" i="36"/>
  <c r="I1841" i="36"/>
  <c r="G1841" i="36"/>
  <c r="E1841" i="36"/>
  <c r="I1840" i="36"/>
  <c r="G1840" i="36"/>
  <c r="E1840" i="36"/>
  <c r="I1839" i="36"/>
  <c r="G1839" i="36"/>
  <c r="E1839" i="36"/>
  <c r="I1838" i="36"/>
  <c r="G1838" i="36"/>
  <c r="E1838" i="36"/>
  <c r="I1837" i="36"/>
  <c r="G1837" i="36"/>
  <c r="E1837" i="36"/>
  <c r="I1836" i="36"/>
  <c r="G1836" i="36"/>
  <c r="E1836" i="36"/>
  <c r="I1835" i="36"/>
  <c r="G1835" i="36"/>
  <c r="E1835" i="36"/>
  <c r="I1834" i="36"/>
  <c r="G1834" i="36"/>
  <c r="E1834" i="36"/>
  <c r="I1833" i="36"/>
  <c r="G1833" i="36"/>
  <c r="E1833" i="36"/>
  <c r="I1832" i="36"/>
  <c r="G1832" i="36"/>
  <c r="E1832" i="36"/>
  <c r="I1831" i="36"/>
  <c r="G1831" i="36"/>
  <c r="E1831" i="36"/>
  <c r="I1830" i="36"/>
  <c r="G1830" i="36"/>
  <c r="E1830" i="36"/>
  <c r="I1829" i="36"/>
  <c r="G1829" i="36"/>
  <c r="E1829" i="36"/>
  <c r="I1828" i="36"/>
  <c r="G1828" i="36"/>
  <c r="E1828" i="36"/>
  <c r="I1827" i="36"/>
  <c r="G1827" i="36"/>
  <c r="E1827" i="36"/>
  <c r="I1826" i="36"/>
  <c r="G1826" i="36"/>
  <c r="E1826" i="36"/>
  <c r="I1825" i="36"/>
  <c r="G1825" i="36"/>
  <c r="E1825" i="36"/>
  <c r="I1824" i="36"/>
  <c r="G1824" i="36"/>
  <c r="E1824" i="36"/>
  <c r="I1823" i="36"/>
  <c r="G1823" i="36"/>
  <c r="E1823" i="36"/>
  <c r="I1822" i="36"/>
  <c r="G1822" i="36"/>
  <c r="E1822" i="36"/>
  <c r="I1821" i="36"/>
  <c r="G1821" i="36"/>
  <c r="E1821" i="36"/>
  <c r="I1820" i="36"/>
  <c r="G1820" i="36"/>
  <c r="E1820" i="36"/>
  <c r="I1819" i="36"/>
  <c r="G1819" i="36"/>
  <c r="E1819" i="36"/>
  <c r="I1818" i="36"/>
  <c r="G1818" i="36"/>
  <c r="E1818" i="36"/>
  <c r="I1817" i="36"/>
  <c r="G1817" i="36"/>
  <c r="E1817" i="36"/>
  <c r="I1816" i="36"/>
  <c r="G1816" i="36"/>
  <c r="E1816" i="36"/>
  <c r="I1815" i="36"/>
  <c r="G1815" i="36"/>
  <c r="E1815" i="36"/>
  <c r="I1814" i="36"/>
  <c r="G1814" i="36"/>
  <c r="E1814" i="36"/>
  <c r="I1813" i="36"/>
  <c r="G1813" i="36"/>
  <c r="E1813" i="36"/>
  <c r="I1812" i="36"/>
  <c r="G1812" i="36"/>
  <c r="E1812" i="36"/>
  <c r="I1811" i="36"/>
  <c r="G1811" i="36"/>
  <c r="E1811" i="36"/>
  <c r="I1810" i="36"/>
  <c r="G1810" i="36"/>
  <c r="E1810" i="36"/>
  <c r="I1809" i="36"/>
  <c r="G1809" i="36"/>
  <c r="E1809" i="36"/>
  <c r="I1808" i="36"/>
  <c r="G1808" i="36"/>
  <c r="E1808" i="36"/>
  <c r="I1807" i="36"/>
  <c r="G1807" i="36"/>
  <c r="E1807" i="36"/>
  <c r="I1806" i="36"/>
  <c r="G1806" i="36"/>
  <c r="E1806" i="36"/>
  <c r="I1805" i="36"/>
  <c r="G1805" i="36"/>
  <c r="E1805" i="36"/>
  <c r="I1804" i="36"/>
  <c r="G1804" i="36"/>
  <c r="E1804" i="36"/>
  <c r="I1803" i="36"/>
  <c r="G1803" i="36"/>
  <c r="E1803" i="36"/>
  <c r="I1802" i="36"/>
  <c r="G1802" i="36"/>
  <c r="E1802" i="36"/>
  <c r="I1801" i="36"/>
  <c r="G1801" i="36"/>
  <c r="E1801" i="36"/>
  <c r="I1800" i="36"/>
  <c r="G1800" i="36"/>
  <c r="E1800" i="36"/>
  <c r="I1799" i="36"/>
  <c r="G1799" i="36"/>
  <c r="E1799" i="36"/>
  <c r="I1798" i="36"/>
  <c r="G1798" i="36"/>
  <c r="E1798" i="36"/>
  <c r="I1797" i="36"/>
  <c r="G1797" i="36"/>
  <c r="E1797" i="36"/>
  <c r="I1796" i="36"/>
  <c r="G1796" i="36"/>
  <c r="E1796" i="36"/>
  <c r="I1795" i="36"/>
  <c r="G1795" i="36"/>
  <c r="E1795" i="36"/>
  <c r="I1794" i="36"/>
  <c r="G1794" i="36"/>
  <c r="E1794" i="36"/>
  <c r="I1793" i="36"/>
  <c r="G1793" i="36"/>
  <c r="E1793" i="36"/>
  <c r="I1792" i="36"/>
  <c r="G1792" i="36"/>
  <c r="E1792" i="36"/>
  <c r="I1791" i="36"/>
  <c r="G1791" i="36"/>
  <c r="E1791" i="36"/>
  <c r="I1790" i="36"/>
  <c r="G1790" i="36"/>
  <c r="E1790" i="36"/>
  <c r="I1789" i="36"/>
  <c r="G1789" i="36"/>
  <c r="E1789" i="36"/>
  <c r="I1788" i="36"/>
  <c r="G1788" i="36"/>
  <c r="E1788" i="36"/>
  <c r="I1787" i="36"/>
  <c r="G1787" i="36"/>
  <c r="E1787" i="36"/>
  <c r="I1786" i="36"/>
  <c r="G1786" i="36"/>
  <c r="E1786" i="36"/>
  <c r="I1785" i="36"/>
  <c r="G1785" i="36"/>
  <c r="E1785" i="36"/>
  <c r="I1784" i="36"/>
  <c r="G1784" i="36"/>
  <c r="E1784" i="36"/>
  <c r="I1783" i="36"/>
  <c r="G1783" i="36"/>
  <c r="E1783" i="36"/>
  <c r="I1782" i="36"/>
  <c r="G1782" i="36"/>
  <c r="E1782" i="36"/>
  <c r="I1781" i="36"/>
  <c r="G1781" i="36"/>
  <c r="E1781" i="36"/>
  <c r="I1780" i="36"/>
  <c r="G1780" i="36"/>
  <c r="E1780" i="36"/>
  <c r="I1779" i="36"/>
  <c r="G1779" i="36"/>
  <c r="E1779" i="36"/>
  <c r="I1778" i="36"/>
  <c r="G1778" i="36"/>
  <c r="E1778" i="36"/>
  <c r="I1777" i="36"/>
  <c r="G1777" i="36"/>
  <c r="E1777" i="36"/>
  <c r="I1776" i="36"/>
  <c r="G1776" i="36"/>
  <c r="E1776" i="36"/>
  <c r="I1775" i="36"/>
  <c r="G1775" i="36"/>
  <c r="E1775" i="36"/>
  <c r="I1774" i="36"/>
  <c r="G1774" i="36"/>
  <c r="E1774" i="36"/>
  <c r="I1773" i="36"/>
  <c r="G1773" i="36"/>
  <c r="E1773" i="36"/>
  <c r="I1772" i="36"/>
  <c r="G1772" i="36"/>
  <c r="E1772" i="36"/>
  <c r="I1771" i="36"/>
  <c r="G1771" i="36"/>
  <c r="E1771" i="36"/>
  <c r="I1770" i="36"/>
  <c r="G1770" i="36"/>
  <c r="E1770" i="36"/>
  <c r="I1769" i="36"/>
  <c r="G1769" i="36"/>
  <c r="E1769" i="36"/>
  <c r="I1768" i="36"/>
  <c r="G1768" i="36"/>
  <c r="E1768" i="36"/>
  <c r="I1767" i="36"/>
  <c r="G1767" i="36"/>
  <c r="E1767" i="36"/>
  <c r="I1766" i="36"/>
  <c r="G1766" i="36"/>
  <c r="E1766" i="36"/>
  <c r="I1765" i="36"/>
  <c r="G1765" i="36"/>
  <c r="E1765" i="36"/>
  <c r="I1764" i="36"/>
  <c r="G1764" i="36"/>
  <c r="E1764" i="36"/>
  <c r="I1763" i="36"/>
  <c r="G1763" i="36"/>
  <c r="E1763" i="36"/>
  <c r="I1762" i="36"/>
  <c r="G1762" i="36"/>
  <c r="E1762" i="36"/>
  <c r="I1761" i="36"/>
  <c r="G1761" i="36"/>
  <c r="E1761" i="36"/>
  <c r="I1760" i="36"/>
  <c r="G1760" i="36"/>
  <c r="E1760" i="36"/>
  <c r="I1759" i="36"/>
  <c r="G1759" i="36"/>
  <c r="E1759" i="36"/>
  <c r="I1758" i="36"/>
  <c r="G1758" i="36"/>
  <c r="E1758" i="36"/>
  <c r="I1757" i="36"/>
  <c r="G1757" i="36"/>
  <c r="E1757" i="36"/>
  <c r="I1756" i="36"/>
  <c r="G1756" i="36"/>
  <c r="E1756" i="36"/>
  <c r="I1755" i="36"/>
  <c r="G1755" i="36"/>
  <c r="E1755" i="36"/>
  <c r="I1754" i="36"/>
  <c r="G1754" i="36"/>
  <c r="E1754" i="36"/>
  <c r="I1753" i="36"/>
  <c r="G1753" i="36"/>
  <c r="E1753" i="36"/>
  <c r="I1752" i="36"/>
  <c r="G1752" i="36"/>
  <c r="E1752" i="36"/>
  <c r="I1751" i="36"/>
  <c r="G1751" i="36"/>
  <c r="E1751" i="36"/>
  <c r="I1750" i="36"/>
  <c r="G1750" i="36"/>
  <c r="E1750" i="36"/>
  <c r="I1749" i="36"/>
  <c r="G1749" i="36"/>
  <c r="E1749" i="36"/>
  <c r="I1748" i="36"/>
  <c r="G1748" i="36"/>
  <c r="E1748" i="36"/>
  <c r="I1747" i="36"/>
  <c r="G1747" i="36"/>
  <c r="E1747" i="36"/>
  <c r="I1746" i="36"/>
  <c r="G1746" i="36"/>
  <c r="E1746" i="36"/>
  <c r="I1745" i="36"/>
  <c r="G1745" i="36"/>
  <c r="E1745" i="36"/>
  <c r="I1744" i="36"/>
  <c r="G1744" i="36"/>
  <c r="E1744" i="36"/>
  <c r="I1743" i="36"/>
  <c r="G1743" i="36"/>
  <c r="E1743" i="36"/>
  <c r="I1742" i="36"/>
  <c r="G1742" i="36"/>
  <c r="E1742" i="36"/>
  <c r="I1741" i="36"/>
  <c r="G1741" i="36"/>
  <c r="E1741" i="36"/>
  <c r="I1740" i="36"/>
  <c r="G1740" i="36"/>
  <c r="E1740" i="36"/>
  <c r="I1739" i="36"/>
  <c r="G1739" i="36"/>
  <c r="E1739" i="36"/>
  <c r="I1738" i="36"/>
  <c r="G1738" i="36"/>
  <c r="E1738" i="36"/>
  <c r="I1737" i="36"/>
  <c r="G1737" i="36"/>
  <c r="E1737" i="36"/>
  <c r="I1736" i="36"/>
  <c r="G1736" i="36"/>
  <c r="E1736" i="36"/>
  <c r="I1735" i="36"/>
  <c r="G1735" i="36"/>
  <c r="E1735" i="36"/>
  <c r="I1734" i="36"/>
  <c r="G1734" i="36"/>
  <c r="E1734" i="36"/>
  <c r="I1733" i="36"/>
  <c r="G1733" i="36"/>
  <c r="E1733" i="36"/>
  <c r="I1732" i="36"/>
  <c r="G1732" i="36"/>
  <c r="E1732" i="36"/>
  <c r="I1731" i="36"/>
  <c r="G1731" i="36"/>
  <c r="E1731" i="36"/>
  <c r="I1730" i="36"/>
  <c r="G1730" i="36"/>
  <c r="E1730" i="36"/>
  <c r="I1729" i="36"/>
  <c r="G1729" i="36"/>
  <c r="E1729" i="36"/>
  <c r="I1728" i="36"/>
  <c r="G1728" i="36"/>
  <c r="E1728" i="36"/>
  <c r="I1727" i="36"/>
  <c r="G1727" i="36"/>
  <c r="E1727" i="36"/>
  <c r="I1726" i="36"/>
  <c r="G1726" i="36"/>
  <c r="E1726" i="36"/>
  <c r="I1725" i="36"/>
  <c r="G1725" i="36"/>
  <c r="E1725" i="36"/>
  <c r="I1724" i="36"/>
  <c r="G1724" i="36"/>
  <c r="E1724" i="36"/>
  <c r="I1723" i="36"/>
  <c r="G1723" i="36"/>
  <c r="E1723" i="36"/>
  <c r="I1722" i="36"/>
  <c r="G1722" i="36"/>
  <c r="E1722" i="36"/>
  <c r="I1721" i="36"/>
  <c r="G1721" i="36"/>
  <c r="E1721" i="36"/>
  <c r="I1720" i="36"/>
  <c r="G1720" i="36"/>
  <c r="E1720" i="36"/>
  <c r="I1719" i="36"/>
  <c r="G1719" i="36"/>
  <c r="E1719" i="36"/>
  <c r="I1718" i="36"/>
  <c r="G1718" i="36"/>
  <c r="E1718" i="36"/>
  <c r="I1717" i="36"/>
  <c r="G1717" i="36"/>
  <c r="E1717" i="36"/>
  <c r="I1716" i="36"/>
  <c r="G1716" i="36"/>
  <c r="E1716" i="36"/>
  <c r="I1715" i="36"/>
  <c r="G1715" i="36"/>
  <c r="E1715" i="36"/>
  <c r="I1714" i="36"/>
  <c r="G1714" i="36"/>
  <c r="E1714" i="36"/>
  <c r="I1713" i="36"/>
  <c r="G1713" i="36"/>
  <c r="E1713" i="36"/>
  <c r="I1712" i="36"/>
  <c r="G1712" i="36"/>
  <c r="E1712" i="36"/>
  <c r="I1711" i="36"/>
  <c r="G1711" i="36"/>
  <c r="E1711" i="36"/>
  <c r="I1710" i="36"/>
  <c r="G1710" i="36"/>
  <c r="E1710" i="36"/>
  <c r="I1709" i="36"/>
  <c r="G1709" i="36"/>
  <c r="E1709" i="36"/>
  <c r="I1708" i="36"/>
  <c r="G1708" i="36"/>
  <c r="E1708" i="36"/>
  <c r="I1707" i="36"/>
  <c r="G1707" i="36"/>
  <c r="E1707" i="36"/>
  <c r="I1706" i="36"/>
  <c r="G1706" i="36"/>
  <c r="E1706" i="36"/>
  <c r="I1705" i="36"/>
  <c r="G1705" i="36"/>
  <c r="E1705" i="36"/>
  <c r="I1704" i="36"/>
  <c r="G1704" i="36"/>
  <c r="E1704" i="36"/>
  <c r="I1703" i="36"/>
  <c r="G1703" i="36"/>
  <c r="E1703" i="36"/>
  <c r="I1702" i="36"/>
  <c r="G1702" i="36"/>
  <c r="E1702" i="36"/>
  <c r="I1701" i="36"/>
  <c r="G1701" i="36"/>
  <c r="E1701" i="36"/>
  <c r="I1700" i="36"/>
  <c r="G1700" i="36"/>
  <c r="E1700" i="36"/>
  <c r="I1699" i="36"/>
  <c r="G1699" i="36"/>
  <c r="E1699" i="36"/>
  <c r="I1698" i="36"/>
  <c r="G1698" i="36"/>
  <c r="E1698" i="36"/>
  <c r="I1697" i="36"/>
  <c r="G1697" i="36"/>
  <c r="E1697" i="36"/>
  <c r="I1696" i="36"/>
  <c r="G1696" i="36"/>
  <c r="E1696" i="36"/>
  <c r="I1695" i="36"/>
  <c r="G1695" i="36"/>
  <c r="E1695" i="36"/>
  <c r="I1694" i="36"/>
  <c r="G1694" i="36"/>
  <c r="E1694" i="36"/>
  <c r="I1693" i="36"/>
  <c r="G1693" i="36"/>
  <c r="E1693" i="36"/>
  <c r="I1692" i="36"/>
  <c r="G1692" i="36"/>
  <c r="E1692" i="36"/>
  <c r="I1691" i="36"/>
  <c r="G1691" i="36"/>
  <c r="E1691" i="36"/>
  <c r="I1690" i="36"/>
  <c r="G1690" i="36"/>
  <c r="E1690" i="36"/>
  <c r="I1689" i="36"/>
  <c r="G1689" i="36"/>
  <c r="E1689" i="36"/>
  <c r="I1688" i="36"/>
  <c r="G1688" i="36"/>
  <c r="E1688" i="36"/>
  <c r="I1687" i="36"/>
  <c r="G1687" i="36"/>
  <c r="E1687" i="36"/>
  <c r="I1686" i="36"/>
  <c r="G1686" i="36"/>
  <c r="E1686" i="36"/>
  <c r="I1685" i="36"/>
  <c r="G1685" i="36"/>
  <c r="E1685" i="36"/>
  <c r="I1684" i="36"/>
  <c r="G1684" i="36"/>
  <c r="E1684" i="36"/>
  <c r="I1683" i="36"/>
  <c r="G1683" i="36"/>
  <c r="E1683" i="36"/>
  <c r="I1682" i="36"/>
  <c r="G1682" i="36"/>
  <c r="E1682" i="36"/>
  <c r="I1681" i="36"/>
  <c r="G1681" i="36"/>
  <c r="E1681" i="36"/>
  <c r="I1680" i="36"/>
  <c r="G1680" i="36"/>
  <c r="E1680" i="36"/>
  <c r="I1679" i="36"/>
  <c r="G1679" i="36"/>
  <c r="E1679" i="36"/>
  <c r="I1678" i="36"/>
  <c r="G1678" i="36"/>
  <c r="E1678" i="36"/>
  <c r="I1677" i="36"/>
  <c r="G1677" i="36"/>
  <c r="E1677" i="36"/>
  <c r="I1676" i="36"/>
  <c r="G1676" i="36"/>
  <c r="E1676" i="36"/>
  <c r="I1675" i="36"/>
  <c r="G1675" i="36"/>
  <c r="E1675" i="36"/>
  <c r="I1674" i="36"/>
  <c r="G1674" i="36"/>
  <c r="E1674" i="36"/>
  <c r="I1673" i="36"/>
  <c r="G1673" i="36"/>
  <c r="E1673" i="36"/>
  <c r="I1672" i="36"/>
  <c r="G1672" i="36"/>
  <c r="E1672" i="36"/>
  <c r="I1671" i="36"/>
  <c r="G1671" i="36"/>
  <c r="E1671" i="36"/>
  <c r="I1670" i="36"/>
  <c r="G1670" i="36"/>
  <c r="E1670" i="36"/>
  <c r="I1669" i="36"/>
  <c r="G1669" i="36"/>
  <c r="E1669" i="36"/>
  <c r="I1668" i="36"/>
  <c r="G1668" i="36"/>
  <c r="E1668" i="36"/>
  <c r="I1667" i="36"/>
  <c r="G1667" i="36"/>
  <c r="E1667" i="36"/>
  <c r="I1666" i="36"/>
  <c r="G1666" i="36"/>
  <c r="E1666" i="36"/>
  <c r="I1665" i="36"/>
  <c r="G1665" i="36"/>
  <c r="E1665" i="36"/>
  <c r="I1664" i="36"/>
  <c r="G1664" i="36"/>
  <c r="E1664" i="36"/>
  <c r="I1663" i="36"/>
  <c r="G1663" i="36"/>
  <c r="E1663" i="36"/>
  <c r="I1662" i="36"/>
  <c r="G1662" i="36"/>
  <c r="E1662" i="36"/>
  <c r="I1661" i="36"/>
  <c r="G1661" i="36"/>
  <c r="E1661" i="36"/>
  <c r="I1660" i="36"/>
  <c r="G1660" i="36"/>
  <c r="E1660" i="36"/>
  <c r="I1659" i="36"/>
  <c r="G1659" i="36"/>
  <c r="E1659" i="36"/>
  <c r="I1658" i="36"/>
  <c r="G1658" i="36"/>
  <c r="E1658" i="36"/>
  <c r="I1657" i="36"/>
  <c r="G1657" i="36"/>
  <c r="E1657" i="36"/>
  <c r="I1656" i="36"/>
  <c r="G1656" i="36"/>
  <c r="E1656" i="36"/>
  <c r="I1655" i="36"/>
  <c r="G1655" i="36"/>
  <c r="E1655" i="36"/>
  <c r="I1654" i="36"/>
  <c r="G1654" i="36"/>
  <c r="E1654" i="36"/>
  <c r="I1653" i="36"/>
  <c r="G1653" i="36"/>
  <c r="E1653" i="36"/>
  <c r="I1652" i="36"/>
  <c r="G1652" i="36"/>
  <c r="E1652" i="36"/>
  <c r="I1651" i="36"/>
  <c r="G1651" i="36"/>
  <c r="E1651" i="36"/>
  <c r="I1650" i="36"/>
  <c r="G1650" i="36"/>
  <c r="E1650" i="36"/>
  <c r="I1649" i="36"/>
  <c r="G1649" i="36"/>
  <c r="E1649" i="36"/>
  <c r="I1648" i="36"/>
  <c r="G1648" i="36"/>
  <c r="E1648" i="36"/>
  <c r="I1647" i="36"/>
  <c r="G1647" i="36"/>
  <c r="E1647" i="36"/>
  <c r="I1646" i="36"/>
  <c r="G1646" i="36"/>
  <c r="E1646" i="36"/>
  <c r="I1645" i="36"/>
  <c r="G1645" i="36"/>
  <c r="E1645" i="36"/>
  <c r="I1644" i="36"/>
  <c r="G1644" i="36"/>
  <c r="E1644" i="36"/>
  <c r="I1643" i="36"/>
  <c r="G1643" i="36"/>
  <c r="E1643" i="36"/>
  <c r="I1642" i="36"/>
  <c r="G1642" i="36"/>
  <c r="E1642" i="36"/>
  <c r="I1641" i="36"/>
  <c r="G1641" i="36"/>
  <c r="E1641" i="36"/>
  <c r="I1640" i="36"/>
  <c r="G1640" i="36"/>
  <c r="E1640" i="36"/>
  <c r="I1639" i="36"/>
  <c r="G1639" i="36"/>
  <c r="E1639" i="36"/>
  <c r="I1638" i="36"/>
  <c r="G1638" i="36"/>
  <c r="E1638" i="36"/>
  <c r="I1637" i="36"/>
  <c r="G1637" i="36"/>
  <c r="E1637" i="36"/>
  <c r="I1636" i="36"/>
  <c r="G1636" i="36"/>
  <c r="E1636" i="36"/>
  <c r="I1635" i="36"/>
  <c r="G1635" i="36"/>
  <c r="E1635" i="36"/>
  <c r="I1634" i="36"/>
  <c r="G1634" i="36"/>
  <c r="E1634" i="36"/>
  <c r="I1633" i="36"/>
  <c r="G1633" i="36"/>
  <c r="E1633" i="36"/>
  <c r="I1632" i="36"/>
  <c r="G1632" i="36"/>
  <c r="E1632" i="36"/>
  <c r="I1631" i="36"/>
  <c r="G1631" i="36"/>
  <c r="E1631" i="36"/>
  <c r="I1630" i="36"/>
  <c r="G1630" i="36"/>
  <c r="E1630" i="36"/>
  <c r="I1629" i="36"/>
  <c r="G1629" i="36"/>
  <c r="E1629" i="36"/>
  <c r="I1628" i="36"/>
  <c r="G1628" i="36"/>
  <c r="E1628" i="36"/>
  <c r="I1627" i="36"/>
  <c r="G1627" i="36"/>
  <c r="E1627" i="36"/>
  <c r="I1626" i="36"/>
  <c r="G1626" i="36"/>
  <c r="E1626" i="36"/>
  <c r="I1625" i="36"/>
  <c r="G1625" i="36"/>
  <c r="E1625" i="36"/>
  <c r="I1624" i="36"/>
  <c r="G1624" i="36"/>
  <c r="E1624" i="36"/>
  <c r="I1623" i="36"/>
  <c r="G1623" i="36"/>
  <c r="E1623" i="36"/>
  <c r="I1622" i="36"/>
  <c r="G1622" i="36"/>
  <c r="E1622" i="36"/>
  <c r="I1621" i="36"/>
  <c r="G1621" i="36"/>
  <c r="E1621" i="36"/>
  <c r="I1620" i="36"/>
  <c r="G1620" i="36"/>
  <c r="E1620" i="36"/>
  <c r="I1619" i="36"/>
  <c r="G1619" i="36"/>
  <c r="E1619" i="36"/>
  <c r="I1618" i="36"/>
  <c r="G1618" i="36"/>
  <c r="E1618" i="36"/>
  <c r="I1617" i="36"/>
  <c r="G1617" i="36"/>
  <c r="E1617" i="36"/>
  <c r="I1616" i="36"/>
  <c r="G1616" i="36"/>
  <c r="E1616" i="36"/>
  <c r="I1615" i="36"/>
  <c r="G1615" i="36"/>
  <c r="E1615" i="36"/>
  <c r="I1614" i="36"/>
  <c r="G1614" i="36"/>
  <c r="E1614" i="36"/>
  <c r="I1613" i="36"/>
  <c r="G1613" i="36"/>
  <c r="E1613" i="36"/>
  <c r="I1612" i="36"/>
  <c r="G1612" i="36"/>
  <c r="E1612" i="36"/>
  <c r="I1611" i="36"/>
  <c r="G1611" i="36"/>
  <c r="E1611" i="36"/>
  <c r="I1610" i="36"/>
  <c r="G1610" i="36"/>
  <c r="E1610" i="36"/>
  <c r="I1609" i="36"/>
  <c r="G1609" i="36"/>
  <c r="E1609" i="36"/>
  <c r="I1608" i="36"/>
  <c r="G1608" i="36"/>
  <c r="E1608" i="36"/>
  <c r="I1607" i="36"/>
  <c r="G1607" i="36"/>
  <c r="E1607" i="36"/>
  <c r="I1606" i="36"/>
  <c r="G1606" i="36"/>
  <c r="E1606" i="36"/>
  <c r="I1605" i="36"/>
  <c r="G1605" i="36"/>
  <c r="E1605" i="36"/>
  <c r="I1604" i="36"/>
  <c r="G1604" i="36"/>
  <c r="E1604" i="36"/>
  <c r="I1603" i="36"/>
  <c r="G1603" i="36"/>
  <c r="E1603" i="36"/>
  <c r="I1602" i="36"/>
  <c r="G1602" i="36"/>
  <c r="E1602" i="36"/>
  <c r="I1601" i="36"/>
  <c r="G1601" i="36"/>
  <c r="E1601" i="36"/>
  <c r="I1600" i="36"/>
  <c r="G1600" i="36"/>
  <c r="E1600" i="36"/>
  <c r="I1599" i="36"/>
  <c r="G1599" i="36"/>
  <c r="E1599" i="36"/>
  <c r="I1598" i="36"/>
  <c r="G1598" i="36"/>
  <c r="E1598" i="36"/>
  <c r="I1597" i="36"/>
  <c r="G1597" i="36"/>
  <c r="E1597" i="36"/>
  <c r="I1596" i="36"/>
  <c r="G1596" i="36"/>
  <c r="E1596" i="36"/>
  <c r="I1595" i="36"/>
  <c r="G1595" i="36"/>
  <c r="E1595" i="36"/>
  <c r="I1594" i="36"/>
  <c r="G1594" i="36"/>
  <c r="E1594" i="36"/>
  <c r="I1593" i="36"/>
  <c r="G1593" i="36"/>
  <c r="E1593" i="36"/>
  <c r="I1592" i="36"/>
  <c r="G1592" i="36"/>
  <c r="E1592" i="36"/>
  <c r="I1591" i="36"/>
  <c r="G1591" i="36"/>
  <c r="E1591" i="36"/>
  <c r="I1590" i="36"/>
  <c r="G1590" i="36"/>
  <c r="E1590" i="36"/>
  <c r="I1589" i="36"/>
  <c r="G1589" i="36"/>
  <c r="E1589" i="36"/>
  <c r="I1588" i="36"/>
  <c r="G1588" i="36"/>
  <c r="E1588" i="36"/>
  <c r="I1587" i="36"/>
  <c r="G1587" i="36"/>
  <c r="E1587" i="36"/>
  <c r="I1586" i="36"/>
  <c r="G1586" i="36"/>
  <c r="E1586" i="36"/>
  <c r="I1585" i="36"/>
  <c r="G1585" i="36"/>
  <c r="E1585" i="36"/>
  <c r="I1584" i="36"/>
  <c r="G1584" i="36"/>
  <c r="E1584" i="36"/>
  <c r="I1583" i="36"/>
  <c r="G1583" i="36"/>
  <c r="E1583" i="36"/>
  <c r="I1582" i="36"/>
  <c r="G1582" i="36"/>
  <c r="E1582" i="36"/>
  <c r="I1581" i="36"/>
  <c r="G1581" i="36"/>
  <c r="E1581" i="36"/>
  <c r="I1580" i="36"/>
  <c r="G1580" i="36"/>
  <c r="E1580" i="36"/>
  <c r="I1579" i="36"/>
  <c r="G1579" i="36"/>
  <c r="E1579" i="36"/>
  <c r="I1578" i="36"/>
  <c r="G1578" i="36"/>
  <c r="E1578" i="36"/>
  <c r="I1577" i="36"/>
  <c r="G1577" i="36"/>
  <c r="E1577" i="36"/>
  <c r="I1576" i="36"/>
  <c r="G1576" i="36"/>
  <c r="E1576" i="36"/>
  <c r="I1575" i="36"/>
  <c r="G1575" i="36"/>
  <c r="E1575" i="36"/>
  <c r="I1574" i="36"/>
  <c r="G1574" i="36"/>
  <c r="E1574" i="36"/>
  <c r="I1573" i="36"/>
  <c r="G1573" i="36"/>
  <c r="E1573" i="36"/>
  <c r="I1572" i="36"/>
  <c r="G1572" i="36"/>
  <c r="E1572" i="36"/>
  <c r="I1571" i="36"/>
  <c r="G1571" i="36"/>
  <c r="E1571" i="36"/>
  <c r="I1570" i="36"/>
  <c r="G1570" i="36"/>
  <c r="E1570" i="36"/>
  <c r="I1569" i="36"/>
  <c r="G1569" i="36"/>
  <c r="E1569" i="36"/>
  <c r="I1568" i="36"/>
  <c r="G1568" i="36"/>
  <c r="E1568" i="36"/>
  <c r="I1567" i="36"/>
  <c r="G1567" i="36"/>
  <c r="E1567" i="36"/>
  <c r="I1566" i="36"/>
  <c r="G1566" i="36"/>
  <c r="E1566" i="36"/>
  <c r="I1565" i="36"/>
  <c r="G1565" i="36"/>
  <c r="E1565" i="36"/>
  <c r="I1564" i="36"/>
  <c r="G1564" i="36"/>
  <c r="E1564" i="36"/>
  <c r="I1563" i="36"/>
  <c r="G1563" i="36"/>
  <c r="E1563" i="36"/>
  <c r="I1562" i="36"/>
  <c r="G1562" i="36"/>
  <c r="E1562" i="36"/>
  <c r="I1561" i="36"/>
  <c r="G1561" i="36"/>
  <c r="E1561" i="36"/>
  <c r="I1560" i="36"/>
  <c r="G1560" i="36"/>
  <c r="E1560" i="36"/>
  <c r="I1559" i="36"/>
  <c r="G1559" i="36"/>
  <c r="E1559" i="36"/>
  <c r="I1558" i="36"/>
  <c r="G1558" i="36"/>
  <c r="E1558" i="36"/>
  <c r="I1557" i="36"/>
  <c r="G1557" i="36"/>
  <c r="E1557" i="36"/>
  <c r="I1556" i="36"/>
  <c r="G1556" i="36"/>
  <c r="E1556" i="36"/>
  <c r="I1555" i="36"/>
  <c r="G1555" i="36"/>
  <c r="E1555" i="36"/>
  <c r="I1554" i="36"/>
  <c r="G1554" i="36"/>
  <c r="E1554" i="36"/>
  <c r="I1553" i="36"/>
  <c r="G1553" i="36"/>
  <c r="E1553" i="36"/>
  <c r="I1552" i="36"/>
  <c r="G1552" i="36"/>
  <c r="E1552" i="36"/>
  <c r="I1551" i="36"/>
  <c r="G1551" i="36"/>
  <c r="E1551" i="36"/>
  <c r="I1550" i="36"/>
  <c r="G1550" i="36"/>
  <c r="E1550" i="36"/>
  <c r="I1549" i="36"/>
  <c r="G1549" i="36"/>
  <c r="E1549" i="36"/>
  <c r="I1548" i="36"/>
  <c r="G1548" i="36"/>
  <c r="E1548" i="36"/>
  <c r="I1547" i="36"/>
  <c r="G1547" i="36"/>
  <c r="E1547" i="36"/>
  <c r="I1546" i="36"/>
  <c r="G1546" i="36"/>
  <c r="E1546" i="36"/>
  <c r="I1545" i="36"/>
  <c r="G1545" i="36"/>
  <c r="E1545" i="36"/>
  <c r="I1544" i="36"/>
  <c r="G1544" i="36"/>
  <c r="E1544" i="36"/>
  <c r="I1543" i="36"/>
  <c r="G1543" i="36"/>
  <c r="E1543" i="36"/>
  <c r="I1542" i="36"/>
  <c r="G1542" i="36"/>
  <c r="E1542" i="36"/>
  <c r="I1541" i="36"/>
  <c r="G1541" i="36"/>
  <c r="E1541" i="36"/>
  <c r="I1540" i="36"/>
  <c r="G1540" i="36"/>
  <c r="E1540" i="36"/>
  <c r="I1539" i="36"/>
  <c r="G1539" i="36"/>
  <c r="E1539" i="36"/>
  <c r="I1538" i="36"/>
  <c r="G1538" i="36"/>
  <c r="E1538" i="36"/>
  <c r="I1537" i="36"/>
  <c r="G1537" i="36"/>
  <c r="E1537" i="36"/>
  <c r="I1536" i="36"/>
  <c r="G1536" i="36"/>
  <c r="E1536" i="36"/>
  <c r="I1535" i="36"/>
  <c r="G1535" i="36"/>
  <c r="E1535" i="36"/>
  <c r="I1534" i="36"/>
  <c r="G1534" i="36"/>
  <c r="E1534" i="36"/>
  <c r="I1533" i="36"/>
  <c r="G1533" i="36"/>
  <c r="E1533" i="36"/>
  <c r="I1532" i="36"/>
  <c r="G1532" i="36"/>
  <c r="E1532" i="36"/>
  <c r="I1531" i="36"/>
  <c r="G1531" i="36"/>
  <c r="E1531" i="36"/>
  <c r="I1530" i="36"/>
  <c r="G1530" i="36"/>
  <c r="E1530" i="36"/>
  <c r="I1529" i="36"/>
  <c r="G1529" i="36"/>
  <c r="E1529" i="36"/>
  <c r="I1528" i="36"/>
  <c r="G1528" i="36"/>
  <c r="E1528" i="36"/>
  <c r="I1527" i="36"/>
  <c r="G1527" i="36"/>
  <c r="E1527" i="36"/>
  <c r="I1526" i="36"/>
  <c r="G1526" i="36"/>
  <c r="E1526" i="36"/>
  <c r="I1525" i="36"/>
  <c r="G1525" i="36"/>
  <c r="E1525" i="36"/>
  <c r="I1524" i="36"/>
  <c r="G1524" i="36"/>
  <c r="E1524" i="36"/>
  <c r="I1523" i="36"/>
  <c r="G1523" i="36"/>
  <c r="E1523" i="36"/>
  <c r="I1522" i="36"/>
  <c r="G1522" i="36"/>
  <c r="E1522" i="36"/>
  <c r="I1521" i="36"/>
  <c r="G1521" i="36"/>
  <c r="E1521" i="36"/>
  <c r="I1520" i="36"/>
  <c r="G1520" i="36"/>
  <c r="E1520" i="36"/>
  <c r="I1519" i="36"/>
  <c r="G1519" i="36"/>
  <c r="E1519" i="36"/>
  <c r="I1518" i="36"/>
  <c r="G1518" i="36"/>
  <c r="E1518" i="36"/>
  <c r="I1517" i="36"/>
  <c r="G1517" i="36"/>
  <c r="E1517" i="36"/>
  <c r="I1516" i="36"/>
  <c r="G1516" i="36"/>
  <c r="E1516" i="36"/>
  <c r="I1515" i="36"/>
  <c r="G1515" i="36"/>
  <c r="E1515" i="36"/>
  <c r="I1514" i="36"/>
  <c r="G1514" i="36"/>
  <c r="E1514" i="36"/>
  <c r="I1513" i="36"/>
  <c r="G1513" i="36"/>
  <c r="E1513" i="36"/>
  <c r="I1512" i="36"/>
  <c r="G1512" i="36"/>
  <c r="E1512" i="36"/>
  <c r="I1511" i="36"/>
  <c r="G1511" i="36"/>
  <c r="E1511" i="36"/>
  <c r="I1510" i="36"/>
  <c r="G1510" i="36"/>
  <c r="E1510" i="36"/>
  <c r="I1509" i="36"/>
  <c r="G1509" i="36"/>
  <c r="E1509" i="36"/>
  <c r="I1508" i="36"/>
  <c r="G1508" i="36"/>
  <c r="E1508" i="36"/>
  <c r="I1507" i="36"/>
  <c r="G1507" i="36"/>
  <c r="E1507" i="36"/>
  <c r="I1506" i="36"/>
  <c r="G1506" i="36"/>
  <c r="E1506" i="36"/>
  <c r="I1505" i="36"/>
  <c r="G1505" i="36"/>
  <c r="E1505" i="36"/>
  <c r="I1504" i="36"/>
  <c r="G1504" i="36"/>
  <c r="E1504" i="36"/>
  <c r="I1503" i="36"/>
  <c r="G1503" i="36"/>
  <c r="E1503" i="36"/>
  <c r="I1502" i="36"/>
  <c r="G1502" i="36"/>
  <c r="E1502" i="36"/>
  <c r="I1501" i="36"/>
  <c r="G1501" i="36"/>
  <c r="E1501" i="36"/>
  <c r="I1500" i="36"/>
  <c r="G1500" i="36"/>
  <c r="E1500" i="36"/>
  <c r="I1499" i="36"/>
  <c r="G1499" i="36"/>
  <c r="E1499" i="36"/>
  <c r="I1498" i="36"/>
  <c r="G1498" i="36"/>
  <c r="E1498" i="36"/>
  <c r="I1497" i="36"/>
  <c r="G1497" i="36"/>
  <c r="E1497" i="36"/>
  <c r="I1496" i="36"/>
  <c r="G1496" i="36"/>
  <c r="E1496" i="36"/>
  <c r="I1495" i="36"/>
  <c r="G1495" i="36"/>
  <c r="E1495" i="36"/>
  <c r="I1494" i="36"/>
  <c r="G1494" i="36"/>
  <c r="E1494" i="36"/>
  <c r="I1493" i="36"/>
  <c r="G1493" i="36"/>
  <c r="E1493" i="36"/>
  <c r="I1492" i="36"/>
  <c r="G1492" i="36"/>
  <c r="E1492" i="36"/>
  <c r="I1491" i="36"/>
  <c r="G1491" i="36"/>
  <c r="E1491" i="36"/>
  <c r="I1490" i="36"/>
  <c r="G1490" i="36"/>
  <c r="E1490" i="36"/>
  <c r="I1489" i="36"/>
  <c r="G1489" i="36"/>
  <c r="E1489" i="36"/>
  <c r="I1488" i="36"/>
  <c r="G1488" i="36"/>
  <c r="E1488" i="36"/>
  <c r="I1487" i="36"/>
  <c r="G1487" i="36"/>
  <c r="E1487" i="36"/>
  <c r="I1486" i="36"/>
  <c r="G1486" i="36"/>
  <c r="E1486" i="36"/>
  <c r="I1485" i="36"/>
  <c r="G1485" i="36"/>
  <c r="E1485" i="36"/>
  <c r="I1484" i="36"/>
  <c r="G1484" i="36"/>
  <c r="E1484" i="36"/>
  <c r="I1483" i="36"/>
  <c r="G1483" i="36"/>
  <c r="E1483" i="36"/>
  <c r="I1482" i="36"/>
  <c r="G1482" i="36"/>
  <c r="E1482" i="36"/>
  <c r="I1481" i="36"/>
  <c r="G1481" i="36"/>
  <c r="E1481" i="36"/>
  <c r="I1480" i="36"/>
  <c r="G1480" i="36"/>
  <c r="E1480" i="36"/>
  <c r="I1479" i="36"/>
  <c r="G1479" i="36"/>
  <c r="E1479" i="36"/>
  <c r="I1478" i="36"/>
  <c r="G1478" i="36"/>
  <c r="E1478" i="36"/>
  <c r="I1477" i="36"/>
  <c r="G1477" i="36"/>
  <c r="E1477" i="36"/>
  <c r="I1476" i="36"/>
  <c r="G1476" i="36"/>
  <c r="E1476" i="36"/>
  <c r="I1475" i="36"/>
  <c r="G1475" i="36"/>
  <c r="E1475" i="36"/>
  <c r="I1474" i="36"/>
  <c r="G1474" i="36"/>
  <c r="E1474" i="36"/>
  <c r="I1473" i="36"/>
  <c r="G1473" i="36"/>
  <c r="E1473" i="36"/>
  <c r="I1472" i="36"/>
  <c r="G1472" i="36"/>
  <c r="E1472" i="36"/>
  <c r="I1471" i="36"/>
  <c r="G1471" i="36"/>
  <c r="E1471" i="36"/>
  <c r="I1470" i="36"/>
  <c r="G1470" i="36"/>
  <c r="E1470" i="36"/>
  <c r="I1469" i="36"/>
  <c r="G1469" i="36"/>
  <c r="E1469" i="36"/>
  <c r="I1468" i="36"/>
  <c r="G1468" i="36"/>
  <c r="E1468" i="36"/>
  <c r="I1467" i="36"/>
  <c r="G1467" i="36"/>
  <c r="E1467" i="36"/>
  <c r="I1466" i="36"/>
  <c r="G1466" i="36"/>
  <c r="E1466" i="36"/>
  <c r="I1465" i="36"/>
  <c r="G1465" i="36"/>
  <c r="E1465" i="36"/>
  <c r="I1464" i="36"/>
  <c r="G1464" i="36"/>
  <c r="E1464" i="36"/>
  <c r="I1463" i="36"/>
  <c r="G1463" i="36"/>
  <c r="E1463" i="36"/>
  <c r="I1462" i="36"/>
  <c r="G1462" i="36"/>
  <c r="E1462" i="36"/>
  <c r="I1461" i="36"/>
  <c r="G1461" i="36"/>
  <c r="E1461" i="36"/>
  <c r="I1460" i="36"/>
  <c r="G1460" i="36"/>
  <c r="E1460" i="36"/>
  <c r="I1459" i="36"/>
  <c r="G1459" i="36"/>
  <c r="E1459" i="36"/>
  <c r="I1458" i="36"/>
  <c r="G1458" i="36"/>
  <c r="E1458" i="36"/>
  <c r="I1457" i="36"/>
  <c r="G1457" i="36"/>
  <c r="E1457" i="36"/>
  <c r="I1456" i="36"/>
  <c r="G1456" i="36"/>
  <c r="E1456" i="36"/>
  <c r="I1455" i="36"/>
  <c r="G1455" i="36"/>
  <c r="E1455" i="36"/>
  <c r="I1454" i="36"/>
  <c r="G1454" i="36"/>
  <c r="E1454" i="36"/>
  <c r="I1453" i="36"/>
  <c r="G1453" i="36"/>
  <c r="E1453" i="36"/>
  <c r="I1452" i="36"/>
  <c r="G1452" i="36"/>
  <c r="E1452" i="36"/>
  <c r="I1451" i="36"/>
  <c r="G1451" i="36"/>
  <c r="E1451" i="36"/>
  <c r="I1450" i="36"/>
  <c r="G1450" i="36"/>
  <c r="E1450" i="36"/>
  <c r="I1449" i="36"/>
  <c r="G1449" i="36"/>
  <c r="E1449" i="36"/>
  <c r="I1448" i="36"/>
  <c r="G1448" i="36"/>
  <c r="E1448" i="36"/>
  <c r="I1447" i="36"/>
  <c r="G1447" i="36"/>
  <c r="E1447" i="36"/>
  <c r="I1446" i="36"/>
  <c r="G1446" i="36"/>
  <c r="E1446" i="36"/>
  <c r="I1445" i="36"/>
  <c r="G1445" i="36"/>
  <c r="E1445" i="36"/>
  <c r="I1444" i="36"/>
  <c r="G1444" i="36"/>
  <c r="E1444" i="36"/>
  <c r="I1443" i="36"/>
  <c r="G1443" i="36"/>
  <c r="E1443" i="36"/>
  <c r="I1442" i="36"/>
  <c r="G1442" i="36"/>
  <c r="E1442" i="36"/>
  <c r="I1441" i="36"/>
  <c r="G1441" i="36"/>
  <c r="E1441" i="36"/>
  <c r="I1440" i="36"/>
  <c r="G1440" i="36"/>
  <c r="E1440" i="36"/>
  <c r="I1439" i="36"/>
  <c r="G1439" i="36"/>
  <c r="E1439" i="36"/>
  <c r="I1438" i="36"/>
  <c r="G1438" i="36"/>
  <c r="E1438" i="36"/>
  <c r="I1437" i="36"/>
  <c r="G1437" i="36"/>
  <c r="E1437" i="36"/>
  <c r="I1436" i="36"/>
  <c r="G1436" i="36"/>
  <c r="E1436" i="36"/>
  <c r="I1435" i="36"/>
  <c r="G1435" i="36"/>
  <c r="E1435" i="36"/>
  <c r="I1434" i="36"/>
  <c r="G1434" i="36"/>
  <c r="E1434" i="36"/>
  <c r="I1433" i="36"/>
  <c r="G1433" i="36"/>
  <c r="E1433" i="36"/>
  <c r="I1432" i="36"/>
  <c r="G1432" i="36"/>
  <c r="E1432" i="36"/>
  <c r="I1431" i="36"/>
  <c r="G1431" i="36"/>
  <c r="E1431" i="36"/>
  <c r="I1430" i="36"/>
  <c r="G1430" i="36"/>
  <c r="E1430" i="36"/>
  <c r="I1429" i="36"/>
  <c r="G1429" i="36"/>
  <c r="E1429" i="36"/>
  <c r="I1428" i="36"/>
  <c r="G1428" i="36"/>
  <c r="E1428" i="36"/>
  <c r="I1427" i="36"/>
  <c r="G1427" i="36"/>
  <c r="E1427" i="36"/>
  <c r="I1426" i="36"/>
  <c r="G1426" i="36"/>
  <c r="E1426" i="36"/>
  <c r="I1425" i="36"/>
  <c r="G1425" i="36"/>
  <c r="E1425" i="36"/>
  <c r="I1424" i="36"/>
  <c r="G1424" i="36"/>
  <c r="E1424" i="36"/>
  <c r="I1423" i="36"/>
  <c r="G1423" i="36"/>
  <c r="E1423" i="36"/>
  <c r="I1422" i="36"/>
  <c r="G1422" i="36"/>
  <c r="E1422" i="36"/>
  <c r="I1421" i="36"/>
  <c r="G1421" i="36"/>
  <c r="E1421" i="36"/>
  <c r="I1420" i="36"/>
  <c r="G1420" i="36"/>
  <c r="E1420" i="36"/>
  <c r="I1419" i="36"/>
  <c r="G1419" i="36"/>
  <c r="E1419" i="36"/>
  <c r="I1418" i="36"/>
  <c r="G1418" i="36"/>
  <c r="E1418" i="36"/>
  <c r="I1417" i="36"/>
  <c r="G1417" i="36"/>
  <c r="E1417" i="36"/>
  <c r="I1416" i="36"/>
  <c r="G1416" i="36"/>
  <c r="E1416" i="36"/>
  <c r="I1415" i="36"/>
  <c r="G1415" i="36"/>
  <c r="E1415" i="36"/>
  <c r="I1414" i="36"/>
  <c r="G1414" i="36"/>
  <c r="E1414" i="36"/>
  <c r="I1413" i="36"/>
  <c r="G1413" i="36"/>
  <c r="E1413" i="36"/>
  <c r="I1412" i="36"/>
  <c r="G1412" i="36"/>
  <c r="E1412" i="36"/>
  <c r="I1411" i="36"/>
  <c r="G1411" i="36"/>
  <c r="E1411" i="36"/>
  <c r="I1410" i="36"/>
  <c r="G1410" i="36"/>
  <c r="E1410" i="36"/>
  <c r="I1409" i="36"/>
  <c r="G1409" i="36"/>
  <c r="E1409" i="36"/>
  <c r="I1408" i="36"/>
  <c r="G1408" i="36"/>
  <c r="E1408" i="36"/>
  <c r="I1407" i="36"/>
  <c r="G1407" i="36"/>
  <c r="E1407" i="36"/>
  <c r="I1406" i="36"/>
  <c r="G1406" i="36"/>
  <c r="E1406" i="36"/>
  <c r="I1405" i="36"/>
  <c r="G1405" i="36"/>
  <c r="E1405" i="36"/>
  <c r="I1404" i="36"/>
  <c r="G1404" i="36"/>
  <c r="E1404" i="36"/>
  <c r="I1403" i="36"/>
  <c r="G1403" i="36"/>
  <c r="E1403" i="36"/>
  <c r="I1402" i="36"/>
  <c r="G1402" i="36"/>
  <c r="E1402" i="36"/>
  <c r="I1401" i="36"/>
  <c r="G1401" i="36"/>
  <c r="E1401" i="36"/>
  <c r="I1400" i="36"/>
  <c r="G1400" i="36"/>
  <c r="E1400" i="36"/>
  <c r="I1399" i="36"/>
  <c r="G1399" i="36"/>
  <c r="E1399" i="36"/>
  <c r="I1398" i="36"/>
  <c r="G1398" i="36"/>
  <c r="E1398" i="36"/>
  <c r="I1397" i="36"/>
  <c r="G1397" i="36"/>
  <c r="E1397" i="36"/>
  <c r="I1396" i="36"/>
  <c r="G1396" i="36"/>
  <c r="E1396" i="36"/>
  <c r="I1395" i="36"/>
  <c r="G1395" i="36"/>
  <c r="E1395" i="36"/>
  <c r="I1394" i="36"/>
  <c r="G1394" i="36"/>
  <c r="E1394" i="36"/>
  <c r="I1393" i="36"/>
  <c r="G1393" i="36"/>
  <c r="E1393" i="36"/>
  <c r="I1392" i="36"/>
  <c r="G1392" i="36"/>
  <c r="E1392" i="36"/>
  <c r="I1391" i="36"/>
  <c r="G1391" i="36"/>
  <c r="E1391" i="36"/>
  <c r="I1390" i="36"/>
  <c r="G1390" i="36"/>
  <c r="E1390" i="36"/>
  <c r="I1389" i="36"/>
  <c r="G1389" i="36"/>
  <c r="E1389" i="36"/>
  <c r="I1388" i="36"/>
  <c r="G1388" i="36"/>
  <c r="E1388" i="36"/>
  <c r="I1387" i="36"/>
  <c r="G1387" i="36"/>
  <c r="E1387" i="36"/>
  <c r="I1386" i="36"/>
  <c r="G1386" i="36"/>
  <c r="E1386" i="36"/>
  <c r="I1385" i="36"/>
  <c r="G1385" i="36"/>
  <c r="E1385" i="36"/>
  <c r="I1384" i="36"/>
  <c r="G1384" i="36"/>
  <c r="E1384" i="36"/>
  <c r="I1383" i="36"/>
  <c r="G1383" i="36"/>
  <c r="E1383" i="36"/>
  <c r="I1382" i="36"/>
  <c r="G1382" i="36"/>
  <c r="E1382" i="36"/>
  <c r="I1381" i="36"/>
  <c r="G1381" i="36"/>
  <c r="E1381" i="36"/>
  <c r="I1380" i="36"/>
  <c r="G1380" i="36"/>
  <c r="E1380" i="36"/>
  <c r="I1379" i="36"/>
  <c r="G1379" i="36"/>
  <c r="E1379" i="36"/>
  <c r="I1378" i="36"/>
  <c r="G1378" i="36"/>
  <c r="E1378" i="36"/>
  <c r="I1377" i="36"/>
  <c r="G1377" i="36"/>
  <c r="E1377" i="36"/>
  <c r="I1376" i="36"/>
  <c r="G1376" i="36"/>
  <c r="E1376" i="36"/>
  <c r="I1375" i="36"/>
  <c r="G1375" i="36"/>
  <c r="E1375" i="36"/>
  <c r="I1374" i="36"/>
  <c r="G1374" i="36"/>
  <c r="E1374" i="36"/>
  <c r="I1373" i="36"/>
  <c r="G1373" i="36"/>
  <c r="E1373" i="36"/>
  <c r="I1372" i="36"/>
  <c r="G1372" i="36"/>
  <c r="E1372" i="36"/>
  <c r="I1371" i="36"/>
  <c r="G1371" i="36"/>
  <c r="E1371" i="36"/>
  <c r="I1370" i="36"/>
  <c r="G1370" i="36"/>
  <c r="E1370" i="36"/>
  <c r="I1369" i="36"/>
  <c r="G1369" i="36"/>
  <c r="E1369" i="36"/>
  <c r="I1368" i="36"/>
  <c r="G1368" i="36"/>
  <c r="E1368" i="36"/>
  <c r="I1367" i="36"/>
  <c r="G1367" i="36"/>
  <c r="E1367" i="36"/>
  <c r="I1366" i="36"/>
  <c r="G1366" i="36"/>
  <c r="E1366" i="36"/>
  <c r="I1365" i="36"/>
  <c r="G1365" i="36"/>
  <c r="E1365" i="36"/>
  <c r="I1364" i="36"/>
  <c r="G1364" i="36"/>
  <c r="E1364" i="36"/>
  <c r="I1363" i="36"/>
  <c r="G1363" i="36"/>
  <c r="E1363" i="36"/>
  <c r="I1362" i="36"/>
  <c r="G1362" i="36"/>
  <c r="E1362" i="36"/>
  <c r="I1361" i="36"/>
  <c r="G1361" i="36"/>
  <c r="E1361" i="36"/>
  <c r="I1360" i="36"/>
  <c r="G1360" i="36"/>
  <c r="E1360" i="36"/>
  <c r="I1359" i="36"/>
  <c r="G1359" i="36"/>
  <c r="E1359" i="36"/>
  <c r="I1358" i="36"/>
  <c r="G1358" i="36"/>
  <c r="E1358" i="36"/>
  <c r="I1357" i="36"/>
  <c r="G1357" i="36"/>
  <c r="E1357" i="36"/>
  <c r="I1356" i="36"/>
  <c r="G1356" i="36"/>
  <c r="E1356" i="36"/>
  <c r="I1355" i="36"/>
  <c r="G1355" i="36"/>
  <c r="E1355" i="36"/>
  <c r="I1354" i="36"/>
  <c r="G1354" i="36"/>
  <c r="E1354" i="36"/>
  <c r="I1353" i="36"/>
  <c r="G1353" i="36"/>
  <c r="E1353" i="36"/>
  <c r="I1352" i="36"/>
  <c r="G1352" i="36"/>
  <c r="E1352" i="36"/>
  <c r="I1351" i="36"/>
  <c r="G1351" i="36"/>
  <c r="E1351" i="36"/>
  <c r="I1350" i="36"/>
  <c r="G1350" i="36"/>
  <c r="E1350" i="36"/>
  <c r="I1349" i="36"/>
  <c r="G1349" i="36"/>
  <c r="E1349" i="36"/>
  <c r="I1348" i="36"/>
  <c r="G1348" i="36"/>
  <c r="E1348" i="36"/>
  <c r="I1347" i="36"/>
  <c r="G1347" i="36"/>
  <c r="E1347" i="36"/>
  <c r="I1346" i="36"/>
  <c r="G1346" i="36"/>
  <c r="E1346" i="36"/>
  <c r="I1345" i="36"/>
  <c r="G1345" i="36"/>
  <c r="E1345" i="36"/>
  <c r="I1344" i="36"/>
  <c r="G1344" i="36"/>
  <c r="E1344" i="36"/>
  <c r="I1343" i="36"/>
  <c r="G1343" i="36"/>
  <c r="E1343" i="36"/>
  <c r="I1342" i="36"/>
  <c r="G1342" i="36"/>
  <c r="E1342" i="36"/>
  <c r="I1341" i="36"/>
  <c r="G1341" i="36"/>
  <c r="E1341" i="36"/>
  <c r="I1340" i="36"/>
  <c r="G1340" i="36"/>
  <c r="E1340" i="36"/>
  <c r="I1339" i="36"/>
  <c r="G1339" i="36"/>
  <c r="E1339" i="36"/>
  <c r="I1338" i="36"/>
  <c r="G1338" i="36"/>
  <c r="E1338" i="36"/>
  <c r="I1337" i="36"/>
  <c r="G1337" i="36"/>
  <c r="E1337" i="36"/>
  <c r="I1336" i="36"/>
  <c r="G1336" i="36"/>
  <c r="E1336" i="36"/>
  <c r="I1335" i="36"/>
  <c r="G1335" i="36"/>
  <c r="E1335" i="36"/>
  <c r="I1334" i="36"/>
  <c r="G1334" i="36"/>
  <c r="E1334" i="36"/>
  <c r="I1333" i="36"/>
  <c r="G1333" i="36"/>
  <c r="E1333" i="36"/>
  <c r="I1332" i="36"/>
  <c r="G1332" i="36"/>
  <c r="E1332" i="36"/>
  <c r="I1331" i="36"/>
  <c r="G1331" i="36"/>
  <c r="E1331" i="36"/>
  <c r="I1330" i="36"/>
  <c r="G1330" i="36"/>
  <c r="E1330" i="36"/>
  <c r="I1329" i="36"/>
  <c r="G1329" i="36"/>
  <c r="E1329" i="36"/>
  <c r="I1328" i="36"/>
  <c r="G1328" i="36"/>
  <c r="E1328" i="36"/>
  <c r="I1327" i="36"/>
  <c r="G1327" i="36"/>
  <c r="E1327" i="36"/>
  <c r="I1326" i="36"/>
  <c r="G1326" i="36"/>
  <c r="E1326" i="36"/>
  <c r="I1325" i="36"/>
  <c r="G1325" i="36"/>
  <c r="E1325" i="36"/>
  <c r="I1324" i="36"/>
  <c r="G1324" i="36"/>
  <c r="E1324" i="36"/>
  <c r="I1323" i="36"/>
  <c r="G1323" i="36"/>
  <c r="E1323" i="36"/>
  <c r="I1322" i="36"/>
  <c r="G1322" i="36"/>
  <c r="E1322" i="36"/>
  <c r="I1321" i="36"/>
  <c r="G1321" i="36"/>
  <c r="E1321" i="36"/>
  <c r="I1320" i="36"/>
  <c r="G1320" i="36"/>
  <c r="E1320" i="36"/>
  <c r="I1319" i="36"/>
  <c r="G1319" i="36"/>
  <c r="E1319" i="36"/>
  <c r="I1318" i="36"/>
  <c r="G1318" i="36"/>
  <c r="E1318" i="36"/>
  <c r="I1317" i="36"/>
  <c r="G1317" i="36"/>
  <c r="E1317" i="36"/>
  <c r="I1316" i="36"/>
  <c r="G1316" i="36"/>
  <c r="E1316" i="36"/>
  <c r="I1315" i="36"/>
  <c r="G1315" i="36"/>
  <c r="E1315" i="36"/>
  <c r="I1314" i="36"/>
  <c r="G1314" i="36"/>
  <c r="E1314" i="36"/>
  <c r="I1313" i="36"/>
  <c r="G1313" i="36"/>
  <c r="E1313" i="36"/>
  <c r="I1312" i="36"/>
  <c r="G1312" i="36"/>
  <c r="E1312" i="36"/>
  <c r="I1311" i="36"/>
  <c r="G1311" i="36"/>
  <c r="E1311" i="36"/>
  <c r="I1310" i="36"/>
  <c r="G1310" i="36"/>
  <c r="E1310" i="36"/>
  <c r="I1309" i="36"/>
  <c r="G1309" i="36"/>
  <c r="E1309" i="36"/>
  <c r="I1308" i="36"/>
  <c r="G1308" i="36"/>
  <c r="E1308" i="36"/>
  <c r="I1307" i="36"/>
  <c r="G1307" i="36"/>
  <c r="E1307" i="36"/>
  <c r="I1306" i="36"/>
  <c r="G1306" i="36"/>
  <c r="E1306" i="36"/>
  <c r="I1305" i="36"/>
  <c r="G1305" i="36"/>
  <c r="E1305" i="36"/>
  <c r="I1304" i="36"/>
  <c r="G1304" i="36"/>
  <c r="E1304" i="36"/>
  <c r="I1303" i="36"/>
  <c r="G1303" i="36"/>
  <c r="E1303" i="36"/>
  <c r="I1302" i="36"/>
  <c r="G1302" i="36"/>
  <c r="E1302" i="36"/>
  <c r="I1301" i="36"/>
  <c r="G1301" i="36"/>
  <c r="E1301" i="36"/>
  <c r="I1300" i="36"/>
  <c r="G1300" i="36"/>
  <c r="E1300" i="36"/>
  <c r="I1299" i="36"/>
  <c r="G1299" i="36"/>
  <c r="E1299" i="36"/>
  <c r="I1298" i="36"/>
  <c r="G1298" i="36"/>
  <c r="E1298" i="36"/>
  <c r="I1297" i="36"/>
  <c r="G1297" i="36"/>
  <c r="E1297" i="36"/>
  <c r="I1296" i="36"/>
  <c r="G1296" i="36"/>
  <c r="E1296" i="36"/>
  <c r="I1295" i="36"/>
  <c r="G1295" i="36"/>
  <c r="E1295" i="36"/>
  <c r="I1294" i="36"/>
  <c r="G1294" i="36"/>
  <c r="E1294" i="36"/>
  <c r="I1293" i="36"/>
  <c r="G1293" i="36"/>
  <c r="E1293" i="36"/>
  <c r="I1292" i="36"/>
  <c r="G1292" i="36"/>
  <c r="E1292" i="36"/>
  <c r="I1291" i="36"/>
  <c r="G1291" i="36"/>
  <c r="E1291" i="36"/>
  <c r="I1290" i="36"/>
  <c r="G1290" i="36"/>
  <c r="E1290" i="36"/>
  <c r="I1289" i="36"/>
  <c r="G1289" i="36"/>
  <c r="E1289" i="36"/>
  <c r="I1288" i="36"/>
  <c r="G1288" i="36"/>
  <c r="E1288" i="36"/>
  <c r="I1287" i="36"/>
  <c r="G1287" i="36"/>
  <c r="E1287" i="36"/>
  <c r="I1286" i="36"/>
  <c r="G1286" i="36"/>
  <c r="E1286" i="36"/>
  <c r="I1285" i="36"/>
  <c r="G1285" i="36"/>
  <c r="E1285" i="36"/>
  <c r="I1284" i="36"/>
  <c r="G1284" i="36"/>
  <c r="E1284" i="36"/>
  <c r="I1283" i="36"/>
  <c r="G1283" i="36"/>
  <c r="E1283" i="36"/>
  <c r="I1282" i="36"/>
  <c r="G1282" i="36"/>
  <c r="E1282" i="36"/>
  <c r="I1281" i="36"/>
  <c r="G1281" i="36"/>
  <c r="E1281" i="36"/>
  <c r="I1280" i="36"/>
  <c r="G1280" i="36"/>
  <c r="E1280" i="36"/>
  <c r="I1279" i="36"/>
  <c r="G1279" i="36"/>
  <c r="E1279" i="36"/>
  <c r="I1278" i="36"/>
  <c r="G1278" i="36"/>
  <c r="E1278" i="36"/>
  <c r="I1277" i="36"/>
  <c r="G1277" i="36"/>
  <c r="E1277" i="36"/>
  <c r="I1276" i="36"/>
  <c r="G1276" i="36"/>
  <c r="E1276" i="36"/>
  <c r="I1275" i="36"/>
  <c r="G1275" i="36"/>
  <c r="E1275" i="36"/>
  <c r="I1274" i="36"/>
  <c r="G1274" i="36"/>
  <c r="E1274" i="36"/>
  <c r="I1273" i="36"/>
  <c r="G1273" i="36"/>
  <c r="E1273" i="36"/>
  <c r="I1272" i="36"/>
  <c r="G1272" i="36"/>
  <c r="E1272" i="36"/>
  <c r="I1271" i="36"/>
  <c r="G1271" i="36"/>
  <c r="E1271" i="36"/>
  <c r="I1270" i="36"/>
  <c r="G1270" i="36"/>
  <c r="E1270" i="36"/>
  <c r="I1269" i="36"/>
  <c r="G1269" i="36"/>
  <c r="E1269" i="36"/>
  <c r="I1268" i="36"/>
  <c r="G1268" i="36"/>
  <c r="E1268" i="36"/>
  <c r="I1267" i="36"/>
  <c r="G1267" i="36"/>
  <c r="E1267" i="36"/>
  <c r="I1266" i="36"/>
  <c r="G1266" i="36"/>
  <c r="E1266" i="36"/>
  <c r="I1265" i="36"/>
  <c r="G1265" i="36"/>
  <c r="E1265" i="36"/>
  <c r="I1264" i="36"/>
  <c r="G1264" i="36"/>
  <c r="E1264" i="36"/>
  <c r="I1263" i="36"/>
  <c r="G1263" i="36"/>
  <c r="E1263" i="36"/>
  <c r="I1262" i="36"/>
  <c r="G1262" i="36"/>
  <c r="E1262" i="36"/>
  <c r="I1261" i="36"/>
  <c r="G1261" i="36"/>
  <c r="E1261" i="36"/>
  <c r="I1260" i="36"/>
  <c r="G1260" i="36"/>
  <c r="E1260" i="36"/>
  <c r="I1259" i="36"/>
  <c r="G1259" i="36"/>
  <c r="E1259" i="36"/>
  <c r="I1258" i="36"/>
  <c r="G1258" i="36"/>
  <c r="E1258" i="36"/>
  <c r="I1257" i="36"/>
  <c r="G1257" i="36"/>
  <c r="E1257" i="36"/>
  <c r="I1256" i="36"/>
  <c r="G1256" i="36"/>
  <c r="E1256" i="36"/>
  <c r="I1255" i="36"/>
  <c r="G1255" i="36"/>
  <c r="E1255" i="36"/>
  <c r="I1254" i="36"/>
  <c r="G1254" i="36"/>
  <c r="E1254" i="36"/>
  <c r="I1253" i="36"/>
  <c r="G1253" i="36"/>
  <c r="E1253" i="36"/>
  <c r="I1252" i="36"/>
  <c r="G1252" i="36"/>
  <c r="E1252" i="36"/>
  <c r="I1251" i="36"/>
  <c r="G1251" i="36"/>
  <c r="E1251" i="36"/>
  <c r="I1250" i="36"/>
  <c r="G1250" i="36"/>
  <c r="E1250" i="36"/>
  <c r="I1249" i="36"/>
  <c r="G1249" i="36"/>
  <c r="E1249" i="36"/>
  <c r="I1248" i="36"/>
  <c r="G1248" i="36"/>
  <c r="E1248" i="36"/>
  <c r="I1247" i="36"/>
  <c r="G1247" i="36"/>
  <c r="E1247" i="36"/>
  <c r="I1246" i="36"/>
  <c r="G1246" i="36"/>
  <c r="E1246" i="36"/>
  <c r="I1245" i="36"/>
  <c r="G1245" i="36"/>
  <c r="E1245" i="36"/>
  <c r="I1244" i="36"/>
  <c r="G1244" i="36"/>
  <c r="E1244" i="36"/>
  <c r="I1243" i="36"/>
  <c r="G1243" i="36"/>
  <c r="E1243" i="36"/>
  <c r="I1242" i="36"/>
  <c r="G1242" i="36"/>
  <c r="E1242" i="36"/>
  <c r="I1241" i="36"/>
  <c r="G1241" i="36"/>
  <c r="E1241" i="36"/>
  <c r="I1240" i="36"/>
  <c r="G1240" i="36"/>
  <c r="E1240" i="36"/>
  <c r="I1239" i="36"/>
  <c r="G1239" i="36"/>
  <c r="E1239" i="36"/>
  <c r="I1238" i="36"/>
  <c r="G1238" i="36"/>
  <c r="E1238" i="36"/>
  <c r="I1237" i="36"/>
  <c r="G1237" i="36"/>
  <c r="E1237" i="36"/>
  <c r="I1236" i="36"/>
  <c r="G1236" i="36"/>
  <c r="E1236" i="36"/>
  <c r="I1235" i="36"/>
  <c r="G1235" i="36"/>
  <c r="E1235" i="36"/>
  <c r="I1234" i="36"/>
  <c r="G1234" i="36"/>
  <c r="E1234" i="36"/>
  <c r="I1233" i="36"/>
  <c r="G1233" i="36"/>
  <c r="E1233" i="36"/>
  <c r="I1232" i="36"/>
  <c r="G1232" i="36"/>
  <c r="E1232" i="36"/>
  <c r="I1231" i="36"/>
  <c r="G1231" i="36"/>
  <c r="E1231" i="36"/>
  <c r="I1230" i="36"/>
  <c r="G1230" i="36"/>
  <c r="E1230" i="36"/>
  <c r="I1229" i="36"/>
  <c r="G1229" i="36"/>
  <c r="E1229" i="36"/>
  <c r="I1228" i="36"/>
  <c r="G1228" i="36"/>
  <c r="E1228" i="36"/>
  <c r="I1227" i="36"/>
  <c r="G1227" i="36"/>
  <c r="E1227" i="36"/>
  <c r="I1226" i="36"/>
  <c r="G1226" i="36"/>
  <c r="E1226" i="36"/>
  <c r="I1225" i="36"/>
  <c r="G1225" i="36"/>
  <c r="E1225" i="36"/>
  <c r="I1224" i="36"/>
  <c r="G1224" i="36"/>
  <c r="E1224" i="36"/>
  <c r="I1223" i="36"/>
  <c r="G1223" i="36"/>
  <c r="E1223" i="36"/>
  <c r="I1222" i="36"/>
  <c r="G1222" i="36"/>
  <c r="E1222" i="36"/>
  <c r="I1221" i="36"/>
  <c r="G1221" i="36"/>
  <c r="E1221" i="36"/>
  <c r="I1220" i="36"/>
  <c r="G1220" i="36"/>
  <c r="E1220" i="36"/>
  <c r="I1219" i="36"/>
  <c r="G1219" i="36"/>
  <c r="E1219" i="36"/>
  <c r="I1218" i="36"/>
  <c r="G1218" i="36"/>
  <c r="E1218" i="36"/>
  <c r="I1217" i="36"/>
  <c r="G1217" i="36"/>
  <c r="E1217" i="36"/>
  <c r="I1216" i="36"/>
  <c r="G1216" i="36"/>
  <c r="E1216" i="36"/>
  <c r="I1215" i="36"/>
  <c r="G1215" i="36"/>
  <c r="E1215" i="36"/>
  <c r="I1214" i="36"/>
  <c r="G1214" i="36"/>
  <c r="E1214" i="36"/>
  <c r="I1213" i="36"/>
  <c r="G1213" i="36"/>
  <c r="E1213" i="36"/>
  <c r="I1212" i="36"/>
  <c r="G1212" i="36"/>
  <c r="E1212" i="36"/>
  <c r="I1211" i="36"/>
  <c r="G1211" i="36"/>
  <c r="E1211" i="36"/>
  <c r="I1210" i="36"/>
  <c r="G1210" i="36"/>
  <c r="E1210" i="36"/>
  <c r="I1209" i="36"/>
  <c r="G1209" i="36"/>
  <c r="E1209" i="36"/>
  <c r="I1208" i="36"/>
  <c r="G1208" i="36"/>
  <c r="E1208" i="36"/>
  <c r="I1207" i="36"/>
  <c r="G1207" i="36"/>
  <c r="E1207" i="36"/>
  <c r="I1206" i="36"/>
  <c r="G1206" i="36"/>
  <c r="E1206" i="36"/>
  <c r="I1205" i="36"/>
  <c r="G1205" i="36"/>
  <c r="E1205" i="36"/>
  <c r="I1204" i="36"/>
  <c r="G1204" i="36"/>
  <c r="E1204" i="36"/>
  <c r="I1203" i="36"/>
  <c r="G1203" i="36"/>
  <c r="E1203" i="36"/>
  <c r="I1202" i="36"/>
  <c r="G1202" i="36"/>
  <c r="E1202" i="36"/>
  <c r="I1201" i="36"/>
  <c r="G1201" i="36"/>
  <c r="E1201" i="36"/>
  <c r="I1200" i="36"/>
  <c r="G1200" i="36"/>
  <c r="E1200" i="36"/>
  <c r="I1199" i="36"/>
  <c r="G1199" i="36"/>
  <c r="E1199" i="36"/>
  <c r="I1198" i="36"/>
  <c r="G1198" i="36"/>
  <c r="E1198" i="36"/>
  <c r="I1197" i="36"/>
  <c r="G1197" i="36"/>
  <c r="E1197" i="36"/>
  <c r="I1196" i="36"/>
  <c r="G1196" i="36"/>
  <c r="E1196" i="36"/>
  <c r="I1195" i="36"/>
  <c r="G1195" i="36"/>
  <c r="E1195" i="36"/>
  <c r="I1194" i="36"/>
  <c r="G1194" i="36"/>
  <c r="E1194" i="36"/>
  <c r="I1193" i="36"/>
  <c r="G1193" i="36"/>
  <c r="E1193" i="36"/>
  <c r="I1192" i="36"/>
  <c r="G1192" i="36"/>
  <c r="E1192" i="36"/>
  <c r="I1191" i="36"/>
  <c r="G1191" i="36"/>
  <c r="E1191" i="36"/>
  <c r="I1190" i="36"/>
  <c r="G1190" i="36"/>
  <c r="E1190" i="36"/>
  <c r="I1189" i="36"/>
  <c r="G1189" i="36"/>
  <c r="E1189" i="36"/>
  <c r="I1188" i="36"/>
  <c r="G1188" i="36"/>
  <c r="E1188" i="36"/>
  <c r="I1187" i="36"/>
  <c r="G1187" i="36"/>
  <c r="E1187" i="36"/>
  <c r="I1186" i="36"/>
  <c r="G1186" i="36"/>
  <c r="E1186" i="36"/>
  <c r="I1185" i="36"/>
  <c r="G1185" i="36"/>
  <c r="E1185" i="36"/>
  <c r="I1184" i="36"/>
  <c r="G1184" i="36"/>
  <c r="E1184" i="36"/>
  <c r="I1183" i="36"/>
  <c r="G1183" i="36"/>
  <c r="E1183" i="36"/>
  <c r="I1182" i="36"/>
  <c r="G1182" i="36"/>
  <c r="E1182" i="36"/>
  <c r="I1181" i="36"/>
  <c r="G1181" i="36"/>
  <c r="E1181" i="36"/>
  <c r="I1180" i="36"/>
  <c r="G1180" i="36"/>
  <c r="E1180" i="36"/>
  <c r="I1179" i="36"/>
  <c r="G1179" i="36"/>
  <c r="E1179" i="36"/>
  <c r="I1178" i="36"/>
  <c r="G1178" i="36"/>
  <c r="E1178" i="36"/>
  <c r="I1177" i="36"/>
  <c r="G1177" i="36"/>
  <c r="E1177" i="36"/>
  <c r="I1176" i="36"/>
  <c r="G1176" i="36"/>
  <c r="E1176" i="36"/>
  <c r="I1175" i="36"/>
  <c r="G1175" i="36"/>
  <c r="E1175" i="36"/>
  <c r="I1174" i="36"/>
  <c r="G1174" i="36"/>
  <c r="E1174" i="36"/>
  <c r="I1173" i="36"/>
  <c r="G1173" i="36"/>
  <c r="E1173" i="36"/>
  <c r="I1172" i="36"/>
  <c r="G1172" i="36"/>
  <c r="E1172" i="36"/>
  <c r="I1171" i="36"/>
  <c r="G1171" i="36"/>
  <c r="E1171" i="36"/>
  <c r="I1170" i="36"/>
  <c r="G1170" i="36"/>
  <c r="E1170" i="36"/>
  <c r="I1169" i="36"/>
  <c r="G1169" i="36"/>
  <c r="E1169" i="36"/>
  <c r="I1168" i="36"/>
  <c r="G1168" i="36"/>
  <c r="E1168" i="36"/>
  <c r="I1167" i="36"/>
  <c r="G1167" i="36"/>
  <c r="E1167" i="36"/>
  <c r="I1166" i="36"/>
  <c r="G1166" i="36"/>
  <c r="E1166" i="36"/>
  <c r="I1165" i="36"/>
  <c r="G1165" i="36"/>
  <c r="E1165" i="36"/>
  <c r="I1164" i="36"/>
  <c r="G1164" i="36"/>
  <c r="E1164" i="36"/>
  <c r="I1163" i="36"/>
  <c r="G1163" i="36"/>
  <c r="E1163" i="36"/>
  <c r="I1162" i="36"/>
  <c r="G1162" i="36"/>
  <c r="E1162" i="36"/>
  <c r="I1161" i="36"/>
  <c r="G1161" i="36"/>
  <c r="E1161" i="36"/>
  <c r="I1160" i="36"/>
  <c r="G1160" i="36"/>
  <c r="E1160" i="36"/>
  <c r="I1159" i="36"/>
  <c r="G1159" i="36"/>
  <c r="E1159" i="36"/>
  <c r="I1158" i="36"/>
  <c r="G1158" i="36"/>
  <c r="E1158" i="36"/>
  <c r="I1157" i="36"/>
  <c r="G1157" i="36"/>
  <c r="E1157" i="36"/>
  <c r="I1156" i="36"/>
  <c r="G1156" i="36"/>
  <c r="E1156" i="36"/>
  <c r="I1155" i="36"/>
  <c r="G1155" i="36"/>
  <c r="E1155" i="36"/>
  <c r="I1154" i="36"/>
  <c r="G1154" i="36"/>
  <c r="E1154" i="36"/>
  <c r="I1153" i="36"/>
  <c r="G1153" i="36"/>
  <c r="E1153" i="36"/>
  <c r="I1152" i="36"/>
  <c r="G1152" i="36"/>
  <c r="E1152" i="36"/>
  <c r="I1151" i="36"/>
  <c r="G1151" i="36"/>
  <c r="E1151" i="36"/>
  <c r="I1150" i="36"/>
  <c r="G1150" i="36"/>
  <c r="E1150" i="36"/>
  <c r="I1149" i="36"/>
  <c r="G1149" i="36"/>
  <c r="E1149" i="36"/>
  <c r="I1148" i="36"/>
  <c r="G1148" i="36"/>
  <c r="E1148" i="36"/>
  <c r="I1147" i="36"/>
  <c r="G1147" i="36"/>
  <c r="E1147" i="36"/>
  <c r="I1146" i="36"/>
  <c r="G1146" i="36"/>
  <c r="E1146" i="36"/>
  <c r="I1145" i="36"/>
  <c r="G1145" i="36"/>
  <c r="E1145" i="36"/>
  <c r="I1144" i="36"/>
  <c r="G1144" i="36"/>
  <c r="E1144" i="36"/>
  <c r="I1143" i="36"/>
  <c r="G1143" i="36"/>
  <c r="E1143" i="36"/>
  <c r="I1142" i="36"/>
  <c r="G1142" i="36"/>
  <c r="E1142" i="36"/>
  <c r="I1141" i="36"/>
  <c r="G1141" i="36"/>
  <c r="E1141" i="36"/>
  <c r="I1140" i="36"/>
  <c r="G1140" i="36"/>
  <c r="E1140" i="36"/>
  <c r="I1139" i="36"/>
  <c r="G1139" i="36"/>
  <c r="E1139" i="36"/>
  <c r="I1138" i="36"/>
  <c r="G1138" i="36"/>
  <c r="E1138" i="36"/>
  <c r="I1137" i="36"/>
  <c r="G1137" i="36"/>
  <c r="E1137" i="36"/>
  <c r="I1136" i="36"/>
  <c r="G1136" i="36"/>
  <c r="E1136" i="36"/>
  <c r="I1135" i="36"/>
  <c r="G1135" i="36"/>
  <c r="E1135" i="36"/>
  <c r="I1134" i="36"/>
  <c r="G1134" i="36"/>
  <c r="E1134" i="36"/>
  <c r="I1133" i="36"/>
  <c r="G1133" i="36"/>
  <c r="E1133" i="36"/>
  <c r="I1132" i="36"/>
  <c r="G1132" i="36"/>
  <c r="E1132" i="36"/>
  <c r="I1131" i="36"/>
  <c r="G1131" i="36"/>
  <c r="E1131" i="36"/>
  <c r="I1130" i="36"/>
  <c r="G1130" i="36"/>
  <c r="E1130" i="36"/>
  <c r="I1129" i="36"/>
  <c r="G1129" i="36"/>
  <c r="E1129" i="36"/>
  <c r="I1128" i="36"/>
  <c r="G1128" i="36"/>
  <c r="E1128" i="36"/>
  <c r="I1127" i="36"/>
  <c r="G1127" i="36"/>
  <c r="E1127" i="36"/>
  <c r="I1126" i="36"/>
  <c r="G1126" i="36"/>
  <c r="E1126" i="36"/>
  <c r="I1125" i="36"/>
  <c r="G1125" i="36"/>
  <c r="E1125" i="36"/>
  <c r="I1124" i="36"/>
  <c r="G1124" i="36"/>
  <c r="E1124" i="36"/>
  <c r="I1123" i="36"/>
  <c r="G1123" i="36"/>
  <c r="E1123" i="36"/>
  <c r="I1122" i="36"/>
  <c r="G1122" i="36"/>
  <c r="E1122" i="36"/>
  <c r="I1121" i="36"/>
  <c r="G1121" i="36"/>
  <c r="E1121" i="36"/>
  <c r="I1120" i="36"/>
  <c r="G1120" i="36"/>
  <c r="E1120" i="36"/>
  <c r="I1119" i="36"/>
  <c r="G1119" i="36"/>
  <c r="E1119" i="36"/>
  <c r="I1118" i="36"/>
  <c r="G1118" i="36"/>
  <c r="E1118" i="36"/>
  <c r="I1117" i="36"/>
  <c r="G1117" i="36"/>
  <c r="E1117" i="36"/>
  <c r="I1116" i="36"/>
  <c r="G1116" i="36"/>
  <c r="E1116" i="36"/>
  <c r="I1115" i="36"/>
  <c r="G1115" i="36"/>
  <c r="E1115" i="36"/>
  <c r="I1114" i="36"/>
  <c r="G1114" i="36"/>
  <c r="E1114" i="36"/>
  <c r="I1113" i="36"/>
  <c r="G1113" i="36"/>
  <c r="E1113" i="36"/>
  <c r="I1112" i="36"/>
  <c r="G1112" i="36"/>
  <c r="E1112" i="36"/>
  <c r="I1111" i="36"/>
  <c r="G1111" i="36"/>
  <c r="E1111" i="36"/>
  <c r="I1110" i="36"/>
  <c r="G1110" i="36"/>
  <c r="E1110" i="36"/>
  <c r="I1109" i="36"/>
  <c r="G1109" i="36"/>
  <c r="E1109" i="36"/>
  <c r="I1108" i="36"/>
  <c r="G1108" i="36"/>
  <c r="E1108" i="36"/>
  <c r="I1107" i="36"/>
  <c r="G1107" i="36"/>
  <c r="E1107" i="36"/>
  <c r="I1106" i="36"/>
  <c r="G1106" i="36"/>
  <c r="E1106" i="36"/>
  <c r="I1105" i="36"/>
  <c r="G1105" i="36"/>
  <c r="E1105" i="36"/>
  <c r="I1104" i="36"/>
  <c r="G1104" i="36"/>
  <c r="E1104" i="36"/>
  <c r="I1103" i="36"/>
  <c r="G1103" i="36"/>
  <c r="E1103" i="36"/>
  <c r="I1102" i="36"/>
  <c r="G1102" i="36"/>
  <c r="E1102" i="36"/>
  <c r="I1101" i="36"/>
  <c r="G1101" i="36"/>
  <c r="E1101" i="36"/>
  <c r="I1100" i="36"/>
  <c r="G1100" i="36"/>
  <c r="E1100" i="36"/>
  <c r="I1099" i="36"/>
  <c r="G1099" i="36"/>
  <c r="E1099" i="36"/>
  <c r="I1098" i="36"/>
  <c r="G1098" i="36"/>
  <c r="E1098" i="36"/>
  <c r="I1097" i="36"/>
  <c r="G1097" i="36"/>
  <c r="E1097" i="36"/>
  <c r="I1096" i="36"/>
  <c r="G1096" i="36"/>
  <c r="E1096" i="36"/>
  <c r="I1095" i="36"/>
  <c r="G1095" i="36"/>
  <c r="E1095" i="36"/>
  <c r="I1094" i="36"/>
  <c r="G1094" i="36"/>
  <c r="E1094" i="36"/>
  <c r="I1093" i="36"/>
  <c r="G1093" i="36"/>
  <c r="E1093" i="36"/>
  <c r="I1092" i="36"/>
  <c r="G1092" i="36"/>
  <c r="E1092" i="36"/>
  <c r="I1091" i="36"/>
  <c r="G1091" i="36"/>
  <c r="E1091" i="36"/>
  <c r="I1090" i="36"/>
  <c r="G1090" i="36"/>
  <c r="E1090" i="36"/>
  <c r="I1089" i="36"/>
  <c r="G1089" i="36"/>
  <c r="E1089" i="36"/>
  <c r="I1088" i="36"/>
  <c r="G1088" i="36"/>
  <c r="E1088" i="36"/>
  <c r="I1087" i="36"/>
  <c r="G1087" i="36"/>
  <c r="E1087" i="36"/>
  <c r="I1086" i="36"/>
  <c r="G1086" i="36"/>
  <c r="E1086" i="36"/>
  <c r="I1085" i="36"/>
  <c r="G1085" i="36"/>
  <c r="E1085" i="36"/>
  <c r="I1084" i="36"/>
  <c r="G1084" i="36"/>
  <c r="E1084" i="36"/>
  <c r="I1083" i="36"/>
  <c r="G1083" i="36"/>
  <c r="E1083" i="36"/>
  <c r="I1082" i="36"/>
  <c r="G1082" i="36"/>
  <c r="E1082" i="36"/>
  <c r="I1081" i="36"/>
  <c r="G1081" i="36"/>
  <c r="E1081" i="36"/>
  <c r="I1080" i="36"/>
  <c r="G1080" i="36"/>
  <c r="E1080" i="36"/>
  <c r="I1079" i="36"/>
  <c r="G1079" i="36"/>
  <c r="E1079" i="36"/>
  <c r="I1078" i="36"/>
  <c r="G1078" i="36"/>
  <c r="E1078" i="36"/>
  <c r="I1077" i="36"/>
  <c r="G1077" i="36"/>
  <c r="E1077" i="36"/>
  <c r="I1076" i="36"/>
  <c r="G1076" i="36"/>
  <c r="E1076" i="36"/>
  <c r="I1075" i="36"/>
  <c r="G1075" i="36"/>
  <c r="E1075" i="36"/>
  <c r="I1074" i="36"/>
  <c r="G1074" i="36"/>
  <c r="E1074" i="36"/>
  <c r="I1073" i="36"/>
  <c r="G1073" i="36"/>
  <c r="E1073" i="36"/>
  <c r="I1072" i="36"/>
  <c r="G1072" i="36"/>
  <c r="E1072" i="36"/>
  <c r="I1071" i="36"/>
  <c r="G1071" i="36"/>
  <c r="E1071" i="36"/>
  <c r="I1070" i="36"/>
  <c r="G1070" i="36"/>
  <c r="E1070" i="36"/>
  <c r="I1069" i="36"/>
  <c r="G1069" i="36"/>
  <c r="E1069" i="36"/>
  <c r="I1068" i="36"/>
  <c r="G1068" i="36"/>
  <c r="E1068" i="36"/>
  <c r="I1067" i="36"/>
  <c r="G1067" i="36"/>
  <c r="E1067" i="36"/>
  <c r="I1066" i="36"/>
  <c r="G1066" i="36"/>
  <c r="E1066" i="36"/>
  <c r="I1065" i="36"/>
  <c r="G1065" i="36"/>
  <c r="E1065" i="36"/>
  <c r="I1064" i="36"/>
  <c r="G1064" i="36"/>
  <c r="E1064" i="36"/>
  <c r="I1063" i="36"/>
  <c r="G1063" i="36"/>
  <c r="E1063" i="36"/>
  <c r="I1062" i="36"/>
  <c r="G1062" i="36"/>
  <c r="E1062" i="36"/>
  <c r="I1061" i="36"/>
  <c r="G1061" i="36"/>
  <c r="E1061" i="36"/>
  <c r="I1060" i="36"/>
  <c r="G1060" i="36"/>
  <c r="E1060" i="36"/>
  <c r="I1059" i="36"/>
  <c r="G1059" i="36"/>
  <c r="E1059" i="36"/>
  <c r="I1058" i="36"/>
  <c r="G1058" i="36"/>
  <c r="E1058" i="36"/>
  <c r="I1057" i="36"/>
  <c r="G1057" i="36"/>
  <c r="E1057" i="36"/>
  <c r="I1056" i="36"/>
  <c r="G1056" i="36"/>
  <c r="E1056" i="36"/>
  <c r="I1055" i="36"/>
  <c r="G1055" i="36"/>
  <c r="E1055" i="36"/>
  <c r="I1054" i="36"/>
  <c r="G1054" i="36"/>
  <c r="E1054" i="36"/>
  <c r="I1053" i="36"/>
  <c r="G1053" i="36"/>
  <c r="E1053" i="36"/>
  <c r="I1052" i="36"/>
  <c r="G1052" i="36"/>
  <c r="E1052" i="36"/>
  <c r="I1051" i="36"/>
  <c r="G1051" i="36"/>
  <c r="E1051" i="36"/>
  <c r="I1050" i="36"/>
  <c r="G1050" i="36"/>
  <c r="E1050" i="36"/>
  <c r="I1049" i="36"/>
  <c r="G1049" i="36"/>
  <c r="E1049" i="36"/>
  <c r="I1048" i="36"/>
  <c r="G1048" i="36"/>
  <c r="E1048" i="36"/>
  <c r="I1047" i="36"/>
  <c r="G1047" i="36"/>
  <c r="E1047" i="36"/>
  <c r="I1046" i="36"/>
  <c r="G1046" i="36"/>
  <c r="E1046" i="36"/>
  <c r="I1045" i="36"/>
  <c r="G1045" i="36"/>
  <c r="E1045" i="36"/>
  <c r="I1044" i="36"/>
  <c r="G1044" i="36"/>
  <c r="E1044" i="36"/>
  <c r="I1043" i="36"/>
  <c r="G1043" i="36"/>
  <c r="E1043" i="36"/>
  <c r="I1042" i="36"/>
  <c r="G1042" i="36"/>
  <c r="E1042" i="36"/>
  <c r="I1041" i="36"/>
  <c r="G1041" i="36"/>
  <c r="E1041" i="36"/>
  <c r="I1040" i="36"/>
  <c r="G1040" i="36"/>
  <c r="E1040" i="36"/>
  <c r="I1039" i="36"/>
  <c r="G1039" i="36"/>
  <c r="E1039" i="36"/>
  <c r="I1038" i="36"/>
  <c r="G1038" i="36"/>
  <c r="E1038" i="36"/>
  <c r="I1037" i="36"/>
  <c r="G1037" i="36"/>
  <c r="E1037" i="36"/>
  <c r="I1036" i="36"/>
  <c r="G1036" i="36"/>
  <c r="E1036" i="36"/>
  <c r="I1035" i="36"/>
  <c r="G1035" i="36"/>
  <c r="E1035" i="36"/>
  <c r="I1034" i="36"/>
  <c r="G1034" i="36"/>
  <c r="E1034" i="36"/>
  <c r="I1033" i="36"/>
  <c r="G1033" i="36"/>
  <c r="E1033" i="36"/>
  <c r="I1032" i="36"/>
  <c r="G1032" i="36"/>
  <c r="E1032" i="36"/>
  <c r="I1031" i="36"/>
  <c r="G1031" i="36"/>
  <c r="E1031" i="36"/>
  <c r="I1030" i="36"/>
  <c r="G1030" i="36"/>
  <c r="E1030" i="36"/>
  <c r="I1029" i="36"/>
  <c r="G1029" i="36"/>
  <c r="E1029" i="36"/>
  <c r="I1028" i="36"/>
  <c r="G1028" i="36"/>
  <c r="E1028" i="36"/>
  <c r="I1027" i="36"/>
  <c r="G1027" i="36"/>
  <c r="E1027" i="36"/>
  <c r="I1026" i="36"/>
  <c r="G1026" i="36"/>
  <c r="E1026" i="36"/>
  <c r="I1025" i="36"/>
  <c r="G1025" i="36"/>
  <c r="E1025" i="36"/>
  <c r="I1024" i="36"/>
  <c r="G1024" i="36"/>
  <c r="E1024" i="36"/>
  <c r="I1023" i="36"/>
  <c r="G1023" i="36"/>
  <c r="E1023" i="36"/>
  <c r="I1022" i="36"/>
  <c r="G1022" i="36"/>
  <c r="E1022" i="36"/>
  <c r="I1021" i="36"/>
  <c r="G1021" i="36"/>
  <c r="E1021" i="36"/>
  <c r="I1020" i="36"/>
  <c r="G1020" i="36"/>
  <c r="E1020" i="36"/>
  <c r="I1019" i="36"/>
  <c r="G1019" i="36"/>
  <c r="E1019" i="36"/>
  <c r="I1018" i="36"/>
  <c r="G1018" i="36"/>
  <c r="E1018" i="36"/>
  <c r="I1017" i="36"/>
  <c r="G1017" i="36"/>
  <c r="E1017" i="36"/>
  <c r="I1016" i="36"/>
  <c r="G1016" i="36"/>
  <c r="E1016" i="36"/>
  <c r="I1015" i="36"/>
  <c r="G1015" i="36"/>
  <c r="E1015" i="36"/>
  <c r="I1014" i="36"/>
  <c r="G1014" i="36"/>
  <c r="E1014" i="36"/>
  <c r="I1013" i="36"/>
  <c r="G1013" i="36"/>
  <c r="E1013" i="36"/>
  <c r="I1012" i="36"/>
  <c r="G1012" i="36"/>
  <c r="E1012" i="36"/>
  <c r="I1011" i="36"/>
  <c r="G1011" i="36"/>
  <c r="E1011" i="36"/>
  <c r="I1010" i="36"/>
  <c r="G1010" i="36"/>
  <c r="E1010" i="36"/>
  <c r="I1009" i="36"/>
  <c r="G1009" i="36"/>
  <c r="E1009" i="36"/>
  <c r="I1008" i="36"/>
  <c r="G1008" i="36"/>
  <c r="E1008" i="36"/>
  <c r="I1007" i="36"/>
  <c r="G1007" i="36"/>
  <c r="E1007" i="36"/>
  <c r="I1006" i="36"/>
  <c r="G1006" i="36"/>
  <c r="E1006" i="36"/>
  <c r="I1005" i="36"/>
  <c r="G1005" i="36"/>
  <c r="E1005" i="36"/>
  <c r="I1004" i="36"/>
  <c r="G1004" i="36"/>
  <c r="E1004" i="36"/>
  <c r="I1003" i="36"/>
  <c r="G1003" i="36"/>
  <c r="E1003" i="36"/>
  <c r="I1002" i="36"/>
  <c r="G1002" i="36"/>
  <c r="E1002" i="36"/>
  <c r="I1001" i="36"/>
  <c r="G1001" i="36"/>
  <c r="E1001" i="36"/>
  <c r="I1000" i="36"/>
  <c r="G1000" i="36"/>
  <c r="E1000" i="36"/>
  <c r="I999" i="36"/>
  <c r="G999" i="36"/>
  <c r="E999" i="36"/>
  <c r="I998" i="36"/>
  <c r="G998" i="36"/>
  <c r="E998" i="36"/>
  <c r="I997" i="36"/>
  <c r="G997" i="36"/>
  <c r="E997" i="36"/>
  <c r="I996" i="36"/>
  <c r="G996" i="36"/>
  <c r="E996" i="36"/>
  <c r="I995" i="36"/>
  <c r="G995" i="36"/>
  <c r="E995" i="36"/>
  <c r="I994" i="36"/>
  <c r="G994" i="36"/>
  <c r="E994" i="36"/>
  <c r="I993" i="36"/>
  <c r="G993" i="36"/>
  <c r="E993" i="36"/>
  <c r="I992" i="36"/>
  <c r="G992" i="36"/>
  <c r="E992" i="36"/>
  <c r="I991" i="36"/>
  <c r="G991" i="36"/>
  <c r="E991" i="36"/>
  <c r="I990" i="36"/>
  <c r="G990" i="36"/>
  <c r="E990" i="36"/>
  <c r="I989" i="36"/>
  <c r="G989" i="36"/>
  <c r="E989" i="36"/>
  <c r="I988" i="36"/>
  <c r="G988" i="36"/>
  <c r="E988" i="36"/>
  <c r="I987" i="36"/>
  <c r="G987" i="36"/>
  <c r="E987" i="36"/>
  <c r="I986" i="36"/>
  <c r="G986" i="36"/>
  <c r="E986" i="36"/>
  <c r="I985" i="36"/>
  <c r="G985" i="36"/>
  <c r="E985" i="36"/>
  <c r="I984" i="36"/>
  <c r="G984" i="36"/>
  <c r="E984" i="36"/>
  <c r="I983" i="36"/>
  <c r="G983" i="36"/>
  <c r="E983" i="36"/>
  <c r="I982" i="36"/>
  <c r="G982" i="36"/>
  <c r="E982" i="36"/>
  <c r="I981" i="36"/>
  <c r="G981" i="36"/>
  <c r="E981" i="36"/>
  <c r="I980" i="36"/>
  <c r="G980" i="36"/>
  <c r="E980" i="36"/>
  <c r="I979" i="36"/>
  <c r="G979" i="36"/>
  <c r="E979" i="36"/>
  <c r="I978" i="36"/>
  <c r="G978" i="36"/>
  <c r="E978" i="36"/>
  <c r="I977" i="36"/>
  <c r="G977" i="36"/>
  <c r="E977" i="36"/>
  <c r="I976" i="36"/>
  <c r="G976" i="36"/>
  <c r="E976" i="36"/>
  <c r="I975" i="36"/>
  <c r="G975" i="36"/>
  <c r="E975" i="36"/>
  <c r="I974" i="36"/>
  <c r="G974" i="36"/>
  <c r="E974" i="36"/>
  <c r="I973" i="36"/>
  <c r="G973" i="36"/>
  <c r="E973" i="36"/>
  <c r="I972" i="36"/>
  <c r="G972" i="36"/>
  <c r="E972" i="36"/>
  <c r="I971" i="36"/>
  <c r="G971" i="36"/>
  <c r="E971" i="36"/>
  <c r="I970" i="36"/>
  <c r="G970" i="36"/>
  <c r="E970" i="36"/>
  <c r="I969" i="36"/>
  <c r="G969" i="36"/>
  <c r="E969" i="36"/>
  <c r="I968" i="36"/>
  <c r="G968" i="36"/>
  <c r="E968" i="36"/>
  <c r="I967" i="36"/>
  <c r="G967" i="36"/>
  <c r="E967" i="36"/>
  <c r="I966" i="36"/>
  <c r="G966" i="36"/>
  <c r="E966" i="36"/>
  <c r="I965" i="36"/>
  <c r="G965" i="36"/>
  <c r="E965" i="36"/>
  <c r="I964" i="36"/>
  <c r="G964" i="36"/>
  <c r="E964" i="36"/>
  <c r="I963" i="36"/>
  <c r="G963" i="36"/>
  <c r="E963" i="36"/>
  <c r="I962" i="36"/>
  <c r="G962" i="36"/>
  <c r="E962" i="36"/>
  <c r="I961" i="36"/>
  <c r="G961" i="36"/>
  <c r="E961" i="36"/>
  <c r="I960" i="36"/>
  <c r="G960" i="36"/>
  <c r="E960" i="36"/>
  <c r="I959" i="36"/>
  <c r="G959" i="36"/>
  <c r="E959" i="36"/>
  <c r="I958" i="36"/>
  <c r="G958" i="36"/>
  <c r="E958" i="36"/>
  <c r="I957" i="36"/>
  <c r="G957" i="36"/>
  <c r="E957" i="36"/>
  <c r="I956" i="36"/>
  <c r="G956" i="36"/>
  <c r="E956" i="36"/>
  <c r="I955" i="36"/>
  <c r="G955" i="36"/>
  <c r="E955" i="36"/>
  <c r="I954" i="36"/>
  <c r="G954" i="36"/>
  <c r="E954" i="36"/>
  <c r="I953" i="36"/>
  <c r="G953" i="36"/>
  <c r="E953" i="36"/>
  <c r="I952" i="36"/>
  <c r="G952" i="36"/>
  <c r="E952" i="36"/>
  <c r="I951" i="36"/>
  <c r="G951" i="36"/>
  <c r="E951" i="36"/>
  <c r="I950" i="36"/>
  <c r="G950" i="36"/>
  <c r="E950" i="36"/>
  <c r="I949" i="36"/>
  <c r="G949" i="36"/>
  <c r="E949" i="36"/>
  <c r="I948" i="36"/>
  <c r="G948" i="36"/>
  <c r="E948" i="36"/>
  <c r="I947" i="36"/>
  <c r="G947" i="36"/>
  <c r="E947" i="36"/>
  <c r="I946" i="36"/>
  <c r="G946" i="36"/>
  <c r="E946" i="36"/>
  <c r="I945" i="36"/>
  <c r="G945" i="36"/>
  <c r="E945" i="36"/>
  <c r="I944" i="36"/>
  <c r="G944" i="36"/>
  <c r="E944" i="36"/>
  <c r="I943" i="36"/>
  <c r="G943" i="36"/>
  <c r="E943" i="36"/>
  <c r="I942" i="36"/>
  <c r="G942" i="36"/>
  <c r="E942" i="36"/>
  <c r="I941" i="36"/>
  <c r="G941" i="36"/>
  <c r="E941" i="36"/>
  <c r="I940" i="36"/>
  <c r="G940" i="36"/>
  <c r="E940" i="36"/>
  <c r="I939" i="36"/>
  <c r="G939" i="36"/>
  <c r="E939" i="36"/>
  <c r="I938" i="36"/>
  <c r="G938" i="36"/>
  <c r="E938" i="36"/>
  <c r="I937" i="36"/>
  <c r="G937" i="36"/>
  <c r="E937" i="36"/>
  <c r="I936" i="36"/>
  <c r="G936" i="36"/>
  <c r="E936" i="36"/>
  <c r="I935" i="36"/>
  <c r="G935" i="36"/>
  <c r="E935" i="36"/>
  <c r="I934" i="36"/>
  <c r="G934" i="36"/>
  <c r="E934" i="36"/>
  <c r="I933" i="36"/>
  <c r="G933" i="36"/>
  <c r="E933" i="36"/>
  <c r="I932" i="36"/>
  <c r="G932" i="36"/>
  <c r="E932" i="36"/>
  <c r="I931" i="36"/>
  <c r="G931" i="36"/>
  <c r="E931" i="36"/>
  <c r="I930" i="36"/>
  <c r="G930" i="36"/>
  <c r="E930" i="36"/>
  <c r="I929" i="36"/>
  <c r="G929" i="36"/>
  <c r="E929" i="36"/>
  <c r="I928" i="36"/>
  <c r="G928" i="36"/>
  <c r="E928" i="36"/>
  <c r="I927" i="36"/>
  <c r="G927" i="36"/>
  <c r="E927" i="36"/>
  <c r="I926" i="36"/>
  <c r="G926" i="36"/>
  <c r="E926" i="36"/>
  <c r="I925" i="36"/>
  <c r="G925" i="36"/>
  <c r="E925" i="36"/>
  <c r="I924" i="36"/>
  <c r="G924" i="36"/>
  <c r="E924" i="36"/>
  <c r="I923" i="36"/>
  <c r="G923" i="36"/>
  <c r="E923" i="36"/>
  <c r="I922" i="36"/>
  <c r="G922" i="36"/>
  <c r="E922" i="36"/>
  <c r="I921" i="36"/>
  <c r="G921" i="36"/>
  <c r="E921" i="36"/>
  <c r="I920" i="36"/>
  <c r="G920" i="36"/>
  <c r="E920" i="36"/>
  <c r="I919" i="36"/>
  <c r="G919" i="36"/>
  <c r="E919" i="36"/>
  <c r="I918" i="36"/>
  <c r="G918" i="36"/>
  <c r="E918" i="36"/>
  <c r="I917" i="36"/>
  <c r="G917" i="36"/>
  <c r="E917" i="36"/>
  <c r="I916" i="36"/>
  <c r="G916" i="36"/>
  <c r="E916" i="36"/>
  <c r="I915" i="36"/>
  <c r="G915" i="36"/>
  <c r="E915" i="36"/>
  <c r="I914" i="36"/>
  <c r="G914" i="36"/>
  <c r="E914" i="36"/>
  <c r="I913" i="36"/>
  <c r="G913" i="36"/>
  <c r="E913" i="36"/>
  <c r="I912" i="36"/>
  <c r="G912" i="36"/>
  <c r="E912" i="36"/>
  <c r="I911" i="36"/>
  <c r="G911" i="36"/>
  <c r="E911" i="36"/>
  <c r="I910" i="36"/>
  <c r="G910" i="36"/>
  <c r="E910" i="36"/>
  <c r="I909" i="36"/>
  <c r="G909" i="36"/>
  <c r="E909" i="36"/>
  <c r="I908" i="36"/>
  <c r="G908" i="36"/>
  <c r="E908" i="36"/>
  <c r="I907" i="36"/>
  <c r="G907" i="36"/>
  <c r="E907" i="36"/>
  <c r="I906" i="36"/>
  <c r="G906" i="36"/>
  <c r="E906" i="36"/>
  <c r="I905" i="36"/>
  <c r="G905" i="36"/>
  <c r="E905" i="36"/>
  <c r="I904" i="36"/>
  <c r="G904" i="36"/>
  <c r="E904" i="36"/>
  <c r="I903" i="36"/>
  <c r="G903" i="36"/>
  <c r="E903" i="36"/>
  <c r="I902" i="36"/>
  <c r="G902" i="36"/>
  <c r="E902" i="36"/>
  <c r="I901" i="36"/>
  <c r="G901" i="36"/>
  <c r="E901" i="36"/>
  <c r="I900" i="36"/>
  <c r="G900" i="36"/>
  <c r="E900" i="36"/>
  <c r="I899" i="36"/>
  <c r="G899" i="36"/>
  <c r="E899" i="36"/>
  <c r="I898" i="36"/>
  <c r="G898" i="36"/>
  <c r="E898" i="36"/>
  <c r="I897" i="36"/>
  <c r="G897" i="36"/>
  <c r="E897" i="36"/>
  <c r="I896" i="36"/>
  <c r="G896" i="36"/>
  <c r="E896" i="36"/>
  <c r="I895" i="36"/>
  <c r="G895" i="36"/>
  <c r="E895" i="36"/>
  <c r="I894" i="36"/>
  <c r="G894" i="36"/>
  <c r="E894" i="36"/>
  <c r="I893" i="36"/>
  <c r="G893" i="36"/>
  <c r="E893" i="36"/>
  <c r="I892" i="36"/>
  <c r="G892" i="36"/>
  <c r="E892" i="36"/>
  <c r="I891" i="36"/>
  <c r="G891" i="36"/>
  <c r="E891" i="36"/>
  <c r="I890" i="36"/>
  <c r="G890" i="36"/>
  <c r="E890" i="36"/>
  <c r="I889" i="36"/>
  <c r="G889" i="36"/>
  <c r="E889" i="36"/>
  <c r="I888" i="36"/>
  <c r="G888" i="36"/>
  <c r="E888" i="36"/>
  <c r="I887" i="36"/>
  <c r="G887" i="36"/>
  <c r="E887" i="36"/>
  <c r="I886" i="36"/>
  <c r="G886" i="36"/>
  <c r="E886" i="36"/>
  <c r="I885" i="36"/>
  <c r="G885" i="36"/>
  <c r="E885" i="36"/>
  <c r="I884" i="36"/>
  <c r="G884" i="36"/>
  <c r="E884" i="36"/>
  <c r="I883" i="36"/>
  <c r="G883" i="36"/>
  <c r="E883" i="36"/>
  <c r="I882" i="36"/>
  <c r="G882" i="36"/>
  <c r="E882" i="36"/>
  <c r="I881" i="36"/>
  <c r="G881" i="36"/>
  <c r="E881" i="36"/>
  <c r="I880" i="36"/>
  <c r="G880" i="36"/>
  <c r="E880" i="36"/>
  <c r="I879" i="36"/>
  <c r="G879" i="36"/>
  <c r="E879" i="36"/>
  <c r="I878" i="36"/>
  <c r="G878" i="36"/>
  <c r="E878" i="36"/>
  <c r="I877" i="36"/>
  <c r="G877" i="36"/>
  <c r="E877" i="36"/>
  <c r="I876" i="36"/>
  <c r="G876" i="36"/>
  <c r="E876" i="36"/>
  <c r="I875" i="36"/>
  <c r="G875" i="36"/>
  <c r="E875" i="36"/>
  <c r="I874" i="36"/>
  <c r="G874" i="36"/>
  <c r="E874" i="36"/>
  <c r="I873" i="36"/>
  <c r="G873" i="36"/>
  <c r="E873" i="36"/>
  <c r="I872" i="36"/>
  <c r="G872" i="36"/>
  <c r="E872" i="36"/>
  <c r="I871" i="36"/>
  <c r="G871" i="36"/>
  <c r="E871" i="36"/>
  <c r="I870" i="36"/>
  <c r="G870" i="36"/>
  <c r="E870" i="36"/>
  <c r="I869" i="36"/>
  <c r="G869" i="36"/>
  <c r="E869" i="36"/>
  <c r="I868" i="36"/>
  <c r="G868" i="36"/>
  <c r="E868" i="36"/>
  <c r="I867" i="36"/>
  <c r="G867" i="36"/>
  <c r="E867" i="36"/>
  <c r="I866" i="36"/>
  <c r="G866" i="36"/>
  <c r="E866" i="36"/>
  <c r="I865" i="36"/>
  <c r="G865" i="36"/>
  <c r="E865" i="36"/>
  <c r="I864" i="36"/>
  <c r="G864" i="36"/>
  <c r="E864" i="36"/>
  <c r="I863" i="36"/>
  <c r="G863" i="36"/>
  <c r="E863" i="36"/>
  <c r="I862" i="36"/>
  <c r="G862" i="36"/>
  <c r="E862" i="36"/>
  <c r="I861" i="36"/>
  <c r="G861" i="36"/>
  <c r="E861" i="36"/>
  <c r="I860" i="36"/>
  <c r="G860" i="36"/>
  <c r="E860" i="36"/>
  <c r="I859" i="36"/>
  <c r="G859" i="36"/>
  <c r="E859" i="36"/>
  <c r="I858" i="36"/>
  <c r="G858" i="36"/>
  <c r="E858" i="36"/>
  <c r="I857" i="36"/>
  <c r="G857" i="36"/>
  <c r="E857" i="36"/>
  <c r="I856" i="36"/>
  <c r="G856" i="36"/>
  <c r="E856" i="36"/>
  <c r="I855" i="36"/>
  <c r="G855" i="36"/>
  <c r="E855" i="36"/>
  <c r="I854" i="36"/>
  <c r="G854" i="36"/>
  <c r="E854" i="36"/>
  <c r="I853" i="36"/>
  <c r="G853" i="36"/>
  <c r="E853" i="36"/>
  <c r="I852" i="36"/>
  <c r="G852" i="36"/>
  <c r="E852" i="36"/>
  <c r="I851" i="36"/>
  <c r="G851" i="36"/>
  <c r="E851" i="36"/>
  <c r="I850" i="36"/>
  <c r="G850" i="36"/>
  <c r="E850" i="36"/>
  <c r="I849" i="36"/>
  <c r="G849" i="36"/>
  <c r="E849" i="36"/>
  <c r="I848" i="36"/>
  <c r="G848" i="36"/>
  <c r="E848" i="36"/>
  <c r="I847" i="36"/>
  <c r="G847" i="36"/>
  <c r="E847" i="36"/>
  <c r="I846" i="36"/>
  <c r="G846" i="36"/>
  <c r="E846" i="36"/>
  <c r="I845" i="36"/>
  <c r="G845" i="36"/>
  <c r="E845" i="36"/>
  <c r="I844" i="36"/>
  <c r="G844" i="36"/>
  <c r="E844" i="36"/>
  <c r="I843" i="36"/>
  <c r="G843" i="36"/>
  <c r="E843" i="36"/>
  <c r="I842" i="36"/>
  <c r="G842" i="36"/>
  <c r="E842" i="36"/>
  <c r="I841" i="36"/>
  <c r="G841" i="36"/>
  <c r="E841" i="36"/>
  <c r="I840" i="36"/>
  <c r="G840" i="36"/>
  <c r="E840" i="36"/>
  <c r="I839" i="36"/>
  <c r="G839" i="36"/>
  <c r="E839" i="36"/>
  <c r="I838" i="36"/>
  <c r="G838" i="36"/>
  <c r="E838" i="36"/>
  <c r="I837" i="36"/>
  <c r="G837" i="36"/>
  <c r="E837" i="36"/>
  <c r="I836" i="36"/>
  <c r="G836" i="36"/>
  <c r="E836" i="36"/>
  <c r="I835" i="36"/>
  <c r="G835" i="36"/>
  <c r="E835" i="36"/>
  <c r="I834" i="36"/>
  <c r="G834" i="36"/>
  <c r="E834" i="36"/>
  <c r="I833" i="36"/>
  <c r="G833" i="36"/>
  <c r="E833" i="36"/>
  <c r="I832" i="36"/>
  <c r="G832" i="36"/>
  <c r="E832" i="36"/>
  <c r="I831" i="36"/>
  <c r="G831" i="36"/>
  <c r="E831" i="36"/>
  <c r="I830" i="36"/>
  <c r="G830" i="36"/>
  <c r="E830" i="36"/>
  <c r="I829" i="36"/>
  <c r="G829" i="36"/>
  <c r="E829" i="36"/>
  <c r="I828" i="36"/>
  <c r="G828" i="36"/>
  <c r="E828" i="36"/>
  <c r="I827" i="36"/>
  <c r="G827" i="36"/>
  <c r="E827" i="36"/>
  <c r="I826" i="36"/>
  <c r="G826" i="36"/>
  <c r="E826" i="36"/>
  <c r="I825" i="36"/>
  <c r="G825" i="36"/>
  <c r="E825" i="36"/>
  <c r="I824" i="36"/>
  <c r="G824" i="36"/>
  <c r="E824" i="36"/>
  <c r="I823" i="36"/>
  <c r="G823" i="36"/>
  <c r="E823" i="36"/>
  <c r="I822" i="36"/>
  <c r="G822" i="36"/>
  <c r="E822" i="36"/>
  <c r="I821" i="36"/>
  <c r="G821" i="36"/>
  <c r="E821" i="36"/>
  <c r="I820" i="36"/>
  <c r="G820" i="36"/>
  <c r="E820" i="36"/>
  <c r="I819" i="36"/>
  <c r="G819" i="36"/>
  <c r="E819" i="36"/>
  <c r="I818" i="36"/>
  <c r="G818" i="36"/>
  <c r="E818" i="36"/>
  <c r="I817" i="36"/>
  <c r="G817" i="36"/>
  <c r="E817" i="36"/>
  <c r="I816" i="36"/>
  <c r="G816" i="36"/>
  <c r="E816" i="36"/>
  <c r="I815" i="36"/>
  <c r="G815" i="36"/>
  <c r="E815" i="36"/>
  <c r="I814" i="36"/>
  <c r="G814" i="36"/>
  <c r="E814" i="36"/>
  <c r="I813" i="36"/>
  <c r="G813" i="36"/>
  <c r="E813" i="36"/>
  <c r="I812" i="36"/>
  <c r="G812" i="36"/>
  <c r="E812" i="36"/>
  <c r="I811" i="36"/>
  <c r="G811" i="36"/>
  <c r="E811" i="36"/>
  <c r="I810" i="36"/>
  <c r="G810" i="36"/>
  <c r="E810" i="36"/>
  <c r="I809" i="36"/>
  <c r="G809" i="36"/>
  <c r="E809" i="36"/>
  <c r="I808" i="36"/>
  <c r="G808" i="36"/>
  <c r="E808" i="36"/>
  <c r="I807" i="36"/>
  <c r="G807" i="36"/>
  <c r="E807" i="36"/>
  <c r="I806" i="36"/>
  <c r="G806" i="36"/>
  <c r="E806" i="36"/>
  <c r="I805" i="36"/>
  <c r="G805" i="36"/>
  <c r="E805" i="36"/>
  <c r="I804" i="36"/>
  <c r="G804" i="36"/>
  <c r="E804" i="36"/>
  <c r="I803" i="36"/>
  <c r="G803" i="36"/>
  <c r="E803" i="36"/>
  <c r="I802" i="36"/>
  <c r="G802" i="36"/>
  <c r="E802" i="36"/>
  <c r="I801" i="36"/>
  <c r="G801" i="36"/>
  <c r="E801" i="36"/>
  <c r="I800" i="36"/>
  <c r="G800" i="36"/>
  <c r="E800" i="36"/>
  <c r="I799" i="36"/>
  <c r="G799" i="36"/>
  <c r="E799" i="36"/>
  <c r="I798" i="36"/>
  <c r="G798" i="36"/>
  <c r="E798" i="36"/>
  <c r="I797" i="36"/>
  <c r="G797" i="36"/>
  <c r="E797" i="36"/>
  <c r="I796" i="36"/>
  <c r="G796" i="36"/>
  <c r="E796" i="36"/>
  <c r="I795" i="36"/>
  <c r="G795" i="36"/>
  <c r="E795" i="36"/>
  <c r="I794" i="36"/>
  <c r="G794" i="36"/>
  <c r="E794" i="36"/>
  <c r="I793" i="36"/>
  <c r="G793" i="36"/>
  <c r="E793" i="36"/>
  <c r="I792" i="36"/>
  <c r="G792" i="36"/>
  <c r="E792" i="36"/>
  <c r="I791" i="36"/>
  <c r="G791" i="36"/>
  <c r="E791" i="36"/>
  <c r="I790" i="36"/>
  <c r="G790" i="36"/>
  <c r="E790" i="36"/>
  <c r="I789" i="36"/>
  <c r="G789" i="36"/>
  <c r="E789" i="36"/>
  <c r="I788" i="36"/>
  <c r="G788" i="36"/>
  <c r="E788" i="36"/>
  <c r="I787" i="36"/>
  <c r="G787" i="36"/>
  <c r="E787" i="36"/>
  <c r="I786" i="36"/>
  <c r="G786" i="36"/>
  <c r="E786" i="36"/>
  <c r="I785" i="36"/>
  <c r="G785" i="36"/>
  <c r="E785" i="36"/>
  <c r="I784" i="36"/>
  <c r="G784" i="36"/>
  <c r="E784" i="36"/>
  <c r="I783" i="36"/>
  <c r="G783" i="36"/>
  <c r="E783" i="36"/>
  <c r="I782" i="36"/>
  <c r="G782" i="36"/>
  <c r="E782" i="36"/>
  <c r="I781" i="36"/>
  <c r="G781" i="36"/>
  <c r="E781" i="36"/>
  <c r="I780" i="36"/>
  <c r="G780" i="36"/>
  <c r="E780" i="36"/>
  <c r="I779" i="36"/>
  <c r="G779" i="36"/>
  <c r="E779" i="36"/>
  <c r="I778" i="36"/>
  <c r="G778" i="36"/>
  <c r="E778" i="36"/>
  <c r="I777" i="36"/>
  <c r="G777" i="36"/>
  <c r="E777" i="36"/>
  <c r="I776" i="36"/>
  <c r="G776" i="36"/>
  <c r="E776" i="36"/>
  <c r="I775" i="36"/>
  <c r="G775" i="36"/>
  <c r="E775" i="36"/>
  <c r="I774" i="36"/>
  <c r="G774" i="36"/>
  <c r="E774" i="36"/>
  <c r="I773" i="36"/>
  <c r="G773" i="36"/>
  <c r="E773" i="36"/>
  <c r="I772" i="36"/>
  <c r="G772" i="36"/>
  <c r="E772" i="36"/>
  <c r="I771" i="36"/>
  <c r="G771" i="36"/>
  <c r="E771" i="36"/>
  <c r="I770" i="36"/>
  <c r="G770" i="36"/>
  <c r="E770" i="36"/>
  <c r="I769" i="36"/>
  <c r="G769" i="36"/>
  <c r="E769" i="36"/>
  <c r="I768" i="36"/>
  <c r="G768" i="36"/>
  <c r="E768" i="36"/>
  <c r="I767" i="36"/>
  <c r="G767" i="36"/>
  <c r="E767" i="36"/>
  <c r="I766" i="36"/>
  <c r="G766" i="36"/>
  <c r="E766" i="36"/>
  <c r="I765" i="36"/>
  <c r="G765" i="36"/>
  <c r="E765" i="36"/>
  <c r="I764" i="36"/>
  <c r="G764" i="36"/>
  <c r="E764" i="36"/>
  <c r="I763" i="36"/>
  <c r="G763" i="36"/>
  <c r="E763" i="36"/>
  <c r="I762" i="36"/>
  <c r="G762" i="36"/>
  <c r="E762" i="36"/>
  <c r="I761" i="36"/>
  <c r="G761" i="36"/>
  <c r="E761" i="36"/>
  <c r="I760" i="36"/>
  <c r="G760" i="36"/>
  <c r="E760" i="36"/>
  <c r="I759" i="36"/>
  <c r="G759" i="36"/>
  <c r="E759" i="36"/>
  <c r="I758" i="36"/>
  <c r="G758" i="36"/>
  <c r="E758" i="36"/>
  <c r="I757" i="36"/>
  <c r="G757" i="36"/>
  <c r="E757" i="36"/>
  <c r="I756" i="36"/>
  <c r="G756" i="36"/>
  <c r="E756" i="36"/>
  <c r="I755" i="36"/>
  <c r="G755" i="36"/>
  <c r="E755" i="36"/>
  <c r="I754" i="36"/>
  <c r="G754" i="36"/>
  <c r="E754" i="36"/>
  <c r="I753" i="36"/>
  <c r="G753" i="36"/>
  <c r="E753" i="36"/>
  <c r="I752" i="36"/>
  <c r="G752" i="36"/>
  <c r="E752" i="36"/>
  <c r="I751" i="36"/>
  <c r="G751" i="36"/>
  <c r="E751" i="36"/>
  <c r="I750" i="36"/>
  <c r="G750" i="36"/>
  <c r="E750" i="36"/>
  <c r="I749" i="36"/>
  <c r="G749" i="36"/>
  <c r="E749" i="36"/>
  <c r="I748" i="36"/>
  <c r="G748" i="36"/>
  <c r="E748" i="36"/>
  <c r="I747" i="36"/>
  <c r="G747" i="36"/>
  <c r="E747" i="36"/>
  <c r="I746" i="36"/>
  <c r="G746" i="36"/>
  <c r="E746" i="36"/>
  <c r="I745" i="36"/>
  <c r="G745" i="36"/>
  <c r="E745" i="36"/>
  <c r="I744" i="36"/>
  <c r="G744" i="36"/>
  <c r="E744" i="36"/>
  <c r="I743" i="36"/>
  <c r="G743" i="36"/>
  <c r="E743" i="36"/>
  <c r="I742" i="36"/>
  <c r="G742" i="36"/>
  <c r="E742" i="36"/>
  <c r="I741" i="36"/>
  <c r="G741" i="36"/>
  <c r="E741" i="36"/>
  <c r="I740" i="36"/>
  <c r="G740" i="36"/>
  <c r="E740" i="36"/>
  <c r="I739" i="36"/>
  <c r="G739" i="36"/>
  <c r="E739" i="36"/>
  <c r="I738" i="36"/>
  <c r="G738" i="36"/>
  <c r="E738" i="36"/>
  <c r="I737" i="36"/>
  <c r="G737" i="36"/>
  <c r="E737" i="36"/>
  <c r="I736" i="36"/>
  <c r="G736" i="36"/>
  <c r="E736" i="36"/>
  <c r="I735" i="36"/>
  <c r="G735" i="36"/>
  <c r="E735" i="36"/>
  <c r="I734" i="36"/>
  <c r="G734" i="36"/>
  <c r="E734" i="36"/>
  <c r="I733" i="36"/>
  <c r="G733" i="36"/>
  <c r="E733" i="36"/>
  <c r="I732" i="36"/>
  <c r="G732" i="36"/>
  <c r="E732" i="36"/>
  <c r="I731" i="36"/>
  <c r="G731" i="36"/>
  <c r="E731" i="36"/>
  <c r="I730" i="36"/>
  <c r="G730" i="36"/>
  <c r="E730" i="36"/>
  <c r="I729" i="36"/>
  <c r="G729" i="36"/>
  <c r="E729" i="36"/>
  <c r="I728" i="36"/>
  <c r="G728" i="36"/>
  <c r="E728" i="36"/>
  <c r="I727" i="36"/>
  <c r="G727" i="36"/>
  <c r="E727" i="36"/>
  <c r="I726" i="36"/>
  <c r="G726" i="36"/>
  <c r="E726" i="36"/>
  <c r="I725" i="36"/>
  <c r="G725" i="36"/>
  <c r="E725" i="36"/>
  <c r="I724" i="36"/>
  <c r="G724" i="36"/>
  <c r="E724" i="36"/>
  <c r="I723" i="36"/>
  <c r="G723" i="36"/>
  <c r="E723" i="36"/>
  <c r="I722" i="36"/>
  <c r="G722" i="36"/>
  <c r="E722" i="36"/>
  <c r="I721" i="36"/>
  <c r="G721" i="36"/>
  <c r="E721" i="36"/>
  <c r="I720" i="36"/>
  <c r="G720" i="36"/>
  <c r="E720" i="36"/>
  <c r="I719" i="36"/>
  <c r="G719" i="36"/>
  <c r="E719" i="36"/>
  <c r="I718" i="36"/>
  <c r="G718" i="36"/>
  <c r="E718" i="36"/>
  <c r="I717" i="36"/>
  <c r="G717" i="36"/>
  <c r="E717" i="36"/>
  <c r="I716" i="36"/>
  <c r="G716" i="36"/>
  <c r="E716" i="36"/>
  <c r="I715" i="36"/>
  <c r="G715" i="36"/>
  <c r="E715" i="36"/>
  <c r="I714" i="36"/>
  <c r="G714" i="36"/>
  <c r="E714" i="36"/>
  <c r="I713" i="36"/>
  <c r="G713" i="36"/>
  <c r="E713" i="36"/>
  <c r="I712" i="36"/>
  <c r="G712" i="36"/>
  <c r="E712" i="36"/>
  <c r="I711" i="36"/>
  <c r="G711" i="36"/>
  <c r="E711" i="36"/>
  <c r="I710" i="36"/>
  <c r="G710" i="36"/>
  <c r="E710" i="36"/>
  <c r="I709" i="36"/>
  <c r="G709" i="36"/>
  <c r="E709" i="36"/>
  <c r="I708" i="36"/>
  <c r="G708" i="36"/>
  <c r="E708" i="36"/>
  <c r="I707" i="36"/>
  <c r="G707" i="36"/>
  <c r="E707" i="36"/>
  <c r="I706" i="36"/>
  <c r="G706" i="36"/>
  <c r="E706" i="36"/>
  <c r="I705" i="36"/>
  <c r="G705" i="36"/>
  <c r="E705" i="36"/>
  <c r="I704" i="36"/>
  <c r="G704" i="36"/>
  <c r="E704" i="36"/>
  <c r="I703" i="36"/>
  <c r="G703" i="36"/>
  <c r="E703" i="36"/>
  <c r="I702" i="36"/>
  <c r="G702" i="36"/>
  <c r="E702" i="36"/>
  <c r="I701" i="36"/>
  <c r="G701" i="36"/>
  <c r="E701" i="36"/>
  <c r="I700" i="36"/>
  <c r="G700" i="36"/>
  <c r="E700" i="36"/>
  <c r="I699" i="36"/>
  <c r="G699" i="36"/>
  <c r="E699" i="36"/>
  <c r="I698" i="36"/>
  <c r="G698" i="36"/>
  <c r="E698" i="36"/>
  <c r="I697" i="36"/>
  <c r="G697" i="36"/>
  <c r="E697" i="36"/>
  <c r="I696" i="36"/>
  <c r="G696" i="36"/>
  <c r="E696" i="36"/>
  <c r="I695" i="36"/>
  <c r="G695" i="36"/>
  <c r="E695" i="36"/>
  <c r="I694" i="36"/>
  <c r="G694" i="36"/>
  <c r="E694" i="36"/>
  <c r="I693" i="36"/>
  <c r="G693" i="36"/>
  <c r="E693" i="36"/>
  <c r="I692" i="36"/>
  <c r="G692" i="36"/>
  <c r="E692" i="36"/>
  <c r="I691" i="36"/>
  <c r="G691" i="36"/>
  <c r="E691" i="36"/>
  <c r="I690" i="36"/>
  <c r="G690" i="36"/>
  <c r="E690" i="36"/>
  <c r="I689" i="36"/>
  <c r="G689" i="36"/>
  <c r="E689" i="36"/>
  <c r="I688" i="36"/>
  <c r="G688" i="36"/>
  <c r="E688" i="36"/>
  <c r="I687" i="36"/>
  <c r="G687" i="36"/>
  <c r="E687" i="36"/>
  <c r="I686" i="36"/>
  <c r="G686" i="36"/>
  <c r="E686" i="36"/>
  <c r="I685" i="36"/>
  <c r="G685" i="36"/>
  <c r="E685" i="36"/>
  <c r="I684" i="36"/>
  <c r="G684" i="36"/>
  <c r="E684" i="36"/>
  <c r="I683" i="36"/>
  <c r="G683" i="36"/>
  <c r="E683" i="36"/>
  <c r="I682" i="36"/>
  <c r="G682" i="36"/>
  <c r="E682" i="36"/>
  <c r="I681" i="36"/>
  <c r="G681" i="36"/>
  <c r="E681" i="36"/>
  <c r="I680" i="36"/>
  <c r="G680" i="36"/>
  <c r="E680" i="36"/>
  <c r="I679" i="36"/>
  <c r="G679" i="36"/>
  <c r="E679" i="36"/>
  <c r="I678" i="36"/>
  <c r="G678" i="36"/>
  <c r="E678" i="36"/>
  <c r="I677" i="36"/>
  <c r="G677" i="36"/>
  <c r="E677" i="36"/>
  <c r="I676" i="36"/>
  <c r="G676" i="36"/>
  <c r="E676" i="36"/>
  <c r="I675" i="36"/>
  <c r="G675" i="36"/>
  <c r="E675" i="36"/>
  <c r="I674" i="36"/>
  <c r="G674" i="36"/>
  <c r="E674" i="36"/>
  <c r="I673" i="36"/>
  <c r="G673" i="36"/>
  <c r="E673" i="36"/>
  <c r="I672" i="36"/>
  <c r="G672" i="36"/>
  <c r="E672" i="36"/>
  <c r="I671" i="36"/>
  <c r="G671" i="36"/>
  <c r="E671" i="36"/>
  <c r="I670" i="36"/>
  <c r="G670" i="36"/>
  <c r="E670" i="36"/>
  <c r="I669" i="36"/>
  <c r="G669" i="36"/>
  <c r="E669" i="36"/>
  <c r="I668" i="36"/>
  <c r="G668" i="36"/>
  <c r="E668" i="36"/>
  <c r="I667" i="36"/>
  <c r="G667" i="36"/>
  <c r="E667" i="36"/>
  <c r="I666" i="36"/>
  <c r="G666" i="36"/>
  <c r="E666" i="36"/>
  <c r="I665" i="36"/>
  <c r="G665" i="36"/>
  <c r="E665" i="36"/>
  <c r="I664" i="36"/>
  <c r="G664" i="36"/>
  <c r="E664" i="36"/>
  <c r="I663" i="36"/>
  <c r="G663" i="36"/>
  <c r="E663" i="36"/>
  <c r="I662" i="36"/>
  <c r="G662" i="36"/>
  <c r="E662" i="36"/>
  <c r="I661" i="36"/>
  <c r="G661" i="36"/>
  <c r="E661" i="36"/>
  <c r="I660" i="36"/>
  <c r="G660" i="36"/>
  <c r="E660" i="36"/>
  <c r="I659" i="36"/>
  <c r="G659" i="36"/>
  <c r="E659" i="36"/>
  <c r="I658" i="36"/>
  <c r="G658" i="36"/>
  <c r="E658" i="36"/>
  <c r="I657" i="36"/>
  <c r="G657" i="36"/>
  <c r="E657" i="36"/>
  <c r="I656" i="36"/>
  <c r="G656" i="36"/>
  <c r="E656" i="36"/>
  <c r="I655" i="36"/>
  <c r="G655" i="36"/>
  <c r="E655" i="36"/>
  <c r="I654" i="36"/>
  <c r="G654" i="36"/>
  <c r="E654" i="36"/>
  <c r="I653" i="36"/>
  <c r="G653" i="36"/>
  <c r="E653" i="36"/>
  <c r="I652" i="36"/>
  <c r="G652" i="36"/>
  <c r="E652" i="36"/>
  <c r="I651" i="36"/>
  <c r="G651" i="36"/>
  <c r="E651" i="36"/>
  <c r="I650" i="36"/>
  <c r="G650" i="36"/>
  <c r="E650" i="36"/>
  <c r="I649" i="36"/>
  <c r="G649" i="36"/>
  <c r="E649" i="36"/>
  <c r="I648" i="36"/>
  <c r="G648" i="36"/>
  <c r="E648" i="36"/>
  <c r="I647" i="36"/>
  <c r="G647" i="36"/>
  <c r="E647" i="36"/>
  <c r="I646" i="36"/>
  <c r="G646" i="36"/>
  <c r="E646" i="36"/>
  <c r="I645" i="36"/>
  <c r="G645" i="36"/>
  <c r="E645" i="36"/>
  <c r="I644" i="36"/>
  <c r="G644" i="36"/>
  <c r="E644" i="36"/>
  <c r="I643" i="36"/>
  <c r="G643" i="36"/>
  <c r="E643" i="36"/>
  <c r="I642" i="36"/>
  <c r="G642" i="36"/>
  <c r="E642" i="36"/>
  <c r="I641" i="36"/>
  <c r="G641" i="36"/>
  <c r="E641" i="36"/>
  <c r="I640" i="36"/>
  <c r="G640" i="36"/>
  <c r="E640" i="36"/>
  <c r="I639" i="36"/>
  <c r="G639" i="36"/>
  <c r="E639" i="36"/>
  <c r="I638" i="36"/>
  <c r="G638" i="36"/>
  <c r="E638" i="36"/>
  <c r="I637" i="36"/>
  <c r="G637" i="36"/>
  <c r="E637" i="36"/>
  <c r="I636" i="36"/>
  <c r="G636" i="36"/>
  <c r="E636" i="36"/>
  <c r="I635" i="36"/>
  <c r="G635" i="36"/>
  <c r="E635" i="36"/>
  <c r="I634" i="36"/>
  <c r="G634" i="36"/>
  <c r="E634" i="36"/>
  <c r="I633" i="36"/>
  <c r="G633" i="36"/>
  <c r="E633" i="36"/>
  <c r="I632" i="36"/>
  <c r="G632" i="36"/>
  <c r="E632" i="36"/>
  <c r="I631" i="36"/>
  <c r="G631" i="36"/>
  <c r="E631" i="36"/>
  <c r="I630" i="36"/>
  <c r="G630" i="36"/>
  <c r="E630" i="36"/>
  <c r="I629" i="36"/>
  <c r="G629" i="36"/>
  <c r="E629" i="36"/>
  <c r="I628" i="36"/>
  <c r="G628" i="36"/>
  <c r="E628" i="36"/>
  <c r="I627" i="36"/>
  <c r="G627" i="36"/>
  <c r="E627" i="36"/>
  <c r="I626" i="36"/>
  <c r="G626" i="36"/>
  <c r="E626" i="36"/>
  <c r="I625" i="36"/>
  <c r="G625" i="36"/>
  <c r="E625" i="36"/>
  <c r="I624" i="36"/>
  <c r="G624" i="36"/>
  <c r="E624" i="36"/>
  <c r="I623" i="36"/>
  <c r="G623" i="36"/>
  <c r="E623" i="36"/>
  <c r="I622" i="36"/>
  <c r="G622" i="36"/>
  <c r="E622" i="36"/>
  <c r="I621" i="36"/>
  <c r="G621" i="36"/>
  <c r="E621" i="36"/>
  <c r="I620" i="36"/>
  <c r="G620" i="36"/>
  <c r="E620" i="36"/>
  <c r="I619" i="36"/>
  <c r="G619" i="36"/>
  <c r="E619" i="36"/>
  <c r="I618" i="36"/>
  <c r="G618" i="36"/>
  <c r="E618" i="36"/>
  <c r="I617" i="36"/>
  <c r="G617" i="36"/>
  <c r="E617" i="36"/>
  <c r="I616" i="36"/>
  <c r="G616" i="36"/>
  <c r="E616" i="36"/>
  <c r="I615" i="36"/>
  <c r="G615" i="36"/>
  <c r="E615" i="36"/>
  <c r="I614" i="36"/>
  <c r="G614" i="36"/>
  <c r="E614" i="36"/>
  <c r="I613" i="36"/>
  <c r="G613" i="36"/>
  <c r="E613" i="36"/>
  <c r="I612" i="36"/>
  <c r="G612" i="36"/>
  <c r="E612" i="36"/>
  <c r="I611" i="36"/>
  <c r="G611" i="36"/>
  <c r="E611" i="36"/>
  <c r="I610" i="36"/>
  <c r="G610" i="36"/>
  <c r="E610" i="36"/>
  <c r="I609" i="36"/>
  <c r="G609" i="36"/>
  <c r="E609" i="36"/>
  <c r="I608" i="36"/>
  <c r="G608" i="36"/>
  <c r="E608" i="36"/>
  <c r="I607" i="36"/>
  <c r="G607" i="36"/>
  <c r="E607" i="36"/>
  <c r="I606" i="36"/>
  <c r="G606" i="36"/>
  <c r="E606" i="36"/>
  <c r="I605" i="36"/>
  <c r="G605" i="36"/>
  <c r="E605" i="36"/>
  <c r="I604" i="36"/>
  <c r="G604" i="36"/>
  <c r="E604" i="36"/>
  <c r="I603" i="36"/>
  <c r="G603" i="36"/>
  <c r="E603" i="36"/>
  <c r="I602" i="36"/>
  <c r="G602" i="36"/>
  <c r="E602" i="36"/>
  <c r="I601" i="36"/>
  <c r="G601" i="36"/>
  <c r="E601" i="36"/>
  <c r="I600" i="36"/>
  <c r="G600" i="36"/>
  <c r="E600" i="36"/>
  <c r="I599" i="36"/>
  <c r="G599" i="36"/>
  <c r="E599" i="36"/>
  <c r="I598" i="36"/>
  <c r="G598" i="36"/>
  <c r="E598" i="36"/>
  <c r="I597" i="36"/>
  <c r="G597" i="36"/>
  <c r="E597" i="36"/>
  <c r="I596" i="36"/>
  <c r="G596" i="36"/>
  <c r="E596" i="36"/>
  <c r="I595" i="36"/>
  <c r="G595" i="36"/>
  <c r="E595" i="36"/>
  <c r="I594" i="36"/>
  <c r="G594" i="36"/>
  <c r="E594" i="36"/>
  <c r="I593" i="36"/>
  <c r="G593" i="36"/>
  <c r="E593" i="36"/>
  <c r="I592" i="36"/>
  <c r="G592" i="36"/>
  <c r="E592" i="36"/>
  <c r="I591" i="36"/>
  <c r="G591" i="36"/>
  <c r="E591" i="36"/>
  <c r="I590" i="36"/>
  <c r="G590" i="36"/>
  <c r="E590" i="36"/>
  <c r="I589" i="36"/>
  <c r="G589" i="36"/>
  <c r="E589" i="36"/>
  <c r="I588" i="36"/>
  <c r="G588" i="36"/>
  <c r="E588" i="36"/>
  <c r="I587" i="36"/>
  <c r="G587" i="36"/>
  <c r="E587" i="36"/>
  <c r="I586" i="36"/>
  <c r="G586" i="36"/>
  <c r="E586" i="36"/>
  <c r="I585" i="36"/>
  <c r="G585" i="36"/>
  <c r="E585" i="36"/>
  <c r="I584" i="36"/>
  <c r="G584" i="36"/>
  <c r="E584" i="36"/>
  <c r="I583" i="36"/>
  <c r="G583" i="36"/>
  <c r="E583" i="36"/>
  <c r="I582" i="36"/>
  <c r="G582" i="36"/>
  <c r="E582" i="36"/>
  <c r="I581" i="36"/>
  <c r="G581" i="36"/>
  <c r="E581" i="36"/>
  <c r="I580" i="36"/>
  <c r="G580" i="36"/>
  <c r="E580" i="36"/>
  <c r="I579" i="36"/>
  <c r="G579" i="36"/>
  <c r="E579" i="36"/>
  <c r="I578" i="36"/>
  <c r="G578" i="36"/>
  <c r="E578" i="36"/>
  <c r="I577" i="36"/>
  <c r="G577" i="36"/>
  <c r="E577" i="36"/>
  <c r="I576" i="36"/>
  <c r="G576" i="36"/>
  <c r="E576" i="36"/>
  <c r="I575" i="36"/>
  <c r="G575" i="36"/>
  <c r="E575" i="36"/>
  <c r="I574" i="36"/>
  <c r="G574" i="36"/>
  <c r="E574" i="36"/>
  <c r="I573" i="36"/>
  <c r="G573" i="36"/>
  <c r="E573" i="36"/>
  <c r="I572" i="36"/>
  <c r="G572" i="36"/>
  <c r="E572" i="36"/>
  <c r="I571" i="36"/>
  <c r="G571" i="36"/>
  <c r="E571" i="36"/>
  <c r="I570" i="36"/>
  <c r="G570" i="36"/>
  <c r="E570" i="36"/>
  <c r="I569" i="36"/>
  <c r="G569" i="36"/>
  <c r="E569" i="36"/>
  <c r="I568" i="36"/>
  <c r="G568" i="36"/>
  <c r="E568" i="36"/>
  <c r="I567" i="36"/>
  <c r="G567" i="36"/>
  <c r="E567" i="36"/>
  <c r="I566" i="36"/>
  <c r="G566" i="36"/>
  <c r="E566" i="36"/>
  <c r="I565" i="36"/>
  <c r="G565" i="36"/>
  <c r="E565" i="36"/>
  <c r="I564" i="36"/>
  <c r="G564" i="36"/>
  <c r="E564" i="36"/>
  <c r="I563" i="36"/>
  <c r="G563" i="36"/>
  <c r="E563" i="36"/>
  <c r="I562" i="36"/>
  <c r="G562" i="36"/>
  <c r="E562" i="36"/>
  <c r="I561" i="36"/>
  <c r="G561" i="36"/>
  <c r="E561" i="36"/>
  <c r="I560" i="36"/>
  <c r="G560" i="36"/>
  <c r="E560" i="36"/>
  <c r="I559" i="36"/>
  <c r="G559" i="36"/>
  <c r="E559" i="36"/>
  <c r="I558" i="36"/>
  <c r="G558" i="36"/>
  <c r="E558" i="36"/>
  <c r="I557" i="36"/>
  <c r="G557" i="36"/>
  <c r="E557" i="36"/>
  <c r="I556" i="36"/>
  <c r="G556" i="36"/>
  <c r="E556" i="36"/>
  <c r="I555" i="36"/>
  <c r="G555" i="36"/>
  <c r="E555" i="36"/>
  <c r="I554" i="36"/>
  <c r="G554" i="36"/>
  <c r="E554" i="36"/>
  <c r="I553" i="36"/>
  <c r="G553" i="36"/>
  <c r="E553" i="36"/>
  <c r="I552" i="36"/>
  <c r="G552" i="36"/>
  <c r="E552" i="36"/>
  <c r="I551" i="36"/>
  <c r="G551" i="36"/>
  <c r="E551" i="36"/>
  <c r="I550" i="36"/>
  <c r="G550" i="36"/>
  <c r="E550" i="36"/>
  <c r="I549" i="36"/>
  <c r="G549" i="36"/>
  <c r="E549" i="36"/>
  <c r="I548" i="36"/>
  <c r="G548" i="36"/>
  <c r="E548" i="36"/>
  <c r="I547" i="36"/>
  <c r="G547" i="36"/>
  <c r="E547" i="36"/>
  <c r="I546" i="36"/>
  <c r="G546" i="36"/>
  <c r="E546" i="36"/>
  <c r="I545" i="36"/>
  <c r="G545" i="36"/>
  <c r="E545" i="36"/>
  <c r="I544" i="36"/>
  <c r="G544" i="36"/>
  <c r="E544" i="36"/>
  <c r="I543" i="36"/>
  <c r="G543" i="36"/>
  <c r="E543" i="36"/>
  <c r="I542" i="36"/>
  <c r="G542" i="36"/>
  <c r="E542" i="36"/>
  <c r="I541" i="36"/>
  <c r="G541" i="36"/>
  <c r="E541" i="36"/>
  <c r="I540" i="36"/>
  <c r="G540" i="36"/>
  <c r="E540" i="36"/>
  <c r="I539" i="36"/>
  <c r="G539" i="36"/>
  <c r="E539" i="36"/>
  <c r="I538" i="36"/>
  <c r="G538" i="36"/>
  <c r="E538" i="36"/>
  <c r="I537" i="36"/>
  <c r="G537" i="36"/>
  <c r="E537" i="36"/>
  <c r="I536" i="36"/>
  <c r="G536" i="36"/>
  <c r="E536" i="36"/>
  <c r="I535" i="36"/>
  <c r="G535" i="36"/>
  <c r="E535" i="36"/>
  <c r="I534" i="36"/>
  <c r="G534" i="36"/>
  <c r="E534" i="36"/>
  <c r="I533" i="36"/>
  <c r="G533" i="36"/>
  <c r="E533" i="36"/>
  <c r="I532" i="36"/>
  <c r="G532" i="36"/>
  <c r="E532" i="36"/>
  <c r="I531" i="36"/>
  <c r="G531" i="36"/>
  <c r="E531" i="36"/>
  <c r="I530" i="36"/>
  <c r="G530" i="36"/>
  <c r="E530" i="36"/>
  <c r="I529" i="36"/>
  <c r="G529" i="36"/>
  <c r="E529" i="36"/>
  <c r="I528" i="36"/>
  <c r="G528" i="36"/>
  <c r="E528" i="36"/>
  <c r="I527" i="36"/>
  <c r="G527" i="36"/>
  <c r="E527" i="36"/>
  <c r="I526" i="36"/>
  <c r="G526" i="36"/>
  <c r="E526" i="36"/>
  <c r="I525" i="36"/>
  <c r="G525" i="36"/>
  <c r="E525" i="36"/>
  <c r="I524" i="36"/>
  <c r="G524" i="36"/>
  <c r="E524" i="36"/>
  <c r="I523" i="36"/>
  <c r="G523" i="36"/>
  <c r="E523" i="36"/>
  <c r="I522" i="36"/>
  <c r="G522" i="36"/>
  <c r="E522" i="36"/>
  <c r="I521" i="36"/>
  <c r="G521" i="36"/>
  <c r="E521" i="36"/>
  <c r="I520" i="36"/>
  <c r="G520" i="36"/>
  <c r="E520" i="36"/>
  <c r="I519" i="36"/>
  <c r="G519" i="36"/>
  <c r="E519" i="36"/>
  <c r="I518" i="36"/>
  <c r="G518" i="36"/>
  <c r="E518" i="36"/>
  <c r="I517" i="36"/>
  <c r="G517" i="36"/>
  <c r="E517" i="36"/>
  <c r="I516" i="36"/>
  <c r="G516" i="36"/>
  <c r="E516" i="36"/>
  <c r="I515" i="36"/>
  <c r="G515" i="36"/>
  <c r="E515" i="36"/>
  <c r="I514" i="36"/>
  <c r="G514" i="36"/>
  <c r="E514" i="36"/>
  <c r="I513" i="36"/>
  <c r="G513" i="36"/>
  <c r="E513" i="36"/>
  <c r="I512" i="36"/>
  <c r="G512" i="36"/>
  <c r="E512" i="36"/>
  <c r="I511" i="36"/>
  <c r="G511" i="36"/>
  <c r="E511" i="36"/>
  <c r="I510" i="36"/>
  <c r="G510" i="36"/>
  <c r="E510" i="36"/>
  <c r="I509" i="36"/>
  <c r="G509" i="36"/>
  <c r="E509" i="36"/>
  <c r="I508" i="36"/>
  <c r="G508" i="36"/>
  <c r="E508" i="36"/>
  <c r="I507" i="36"/>
  <c r="G507" i="36"/>
  <c r="E507" i="36"/>
  <c r="I506" i="36"/>
  <c r="G506" i="36"/>
  <c r="E506" i="36"/>
  <c r="I505" i="36"/>
  <c r="G505" i="36"/>
  <c r="E505" i="36"/>
  <c r="I504" i="36"/>
  <c r="G504" i="36"/>
  <c r="E504" i="36"/>
  <c r="I503" i="36"/>
  <c r="G503" i="36"/>
  <c r="E503" i="36"/>
  <c r="I502" i="36"/>
  <c r="G502" i="36"/>
  <c r="E502" i="36"/>
  <c r="I501" i="36"/>
  <c r="G501" i="36"/>
  <c r="E501" i="36"/>
  <c r="I500" i="36"/>
  <c r="G500" i="36"/>
  <c r="E500" i="36"/>
  <c r="I499" i="36"/>
  <c r="G499" i="36"/>
  <c r="E499" i="36"/>
  <c r="I498" i="36"/>
  <c r="G498" i="36"/>
  <c r="E498" i="36"/>
  <c r="I497" i="36"/>
  <c r="G497" i="36"/>
  <c r="E497" i="36"/>
  <c r="I496" i="36"/>
  <c r="G496" i="36"/>
  <c r="E496" i="36"/>
  <c r="I495" i="36"/>
  <c r="G495" i="36"/>
  <c r="E495" i="36"/>
  <c r="I494" i="36"/>
  <c r="G494" i="36"/>
  <c r="E494" i="36"/>
  <c r="I493" i="36"/>
  <c r="G493" i="36"/>
  <c r="E493" i="36"/>
  <c r="I492" i="36"/>
  <c r="G492" i="36"/>
  <c r="E492" i="36"/>
  <c r="I491" i="36"/>
  <c r="G491" i="36"/>
  <c r="E491" i="36"/>
  <c r="I490" i="36"/>
  <c r="G490" i="36"/>
  <c r="E490" i="36"/>
  <c r="I489" i="36"/>
  <c r="G489" i="36"/>
  <c r="E489" i="36"/>
  <c r="I488" i="36"/>
  <c r="G488" i="36"/>
  <c r="E488" i="36"/>
  <c r="I487" i="36"/>
  <c r="G487" i="36"/>
  <c r="E487" i="36"/>
  <c r="I486" i="36"/>
  <c r="G486" i="36"/>
  <c r="E486" i="36"/>
  <c r="I485" i="36"/>
  <c r="G485" i="36"/>
  <c r="E485" i="36"/>
  <c r="I484" i="36"/>
  <c r="G484" i="36"/>
  <c r="E484" i="36"/>
  <c r="I483" i="36"/>
  <c r="G483" i="36"/>
  <c r="E483" i="36"/>
  <c r="I482" i="36"/>
  <c r="G482" i="36"/>
  <c r="E482" i="36"/>
  <c r="I481" i="36"/>
  <c r="G481" i="36"/>
  <c r="E481" i="36"/>
  <c r="I480" i="36"/>
  <c r="G480" i="36"/>
  <c r="E480" i="36"/>
  <c r="I479" i="36"/>
  <c r="G479" i="36"/>
  <c r="E479" i="36"/>
  <c r="I478" i="36"/>
  <c r="G478" i="36"/>
  <c r="E478" i="36"/>
  <c r="I477" i="36"/>
  <c r="G477" i="36"/>
  <c r="E477" i="36"/>
  <c r="I476" i="36"/>
  <c r="G476" i="36"/>
  <c r="E476" i="36"/>
  <c r="I475" i="36"/>
  <c r="G475" i="36"/>
  <c r="E475" i="36"/>
  <c r="I474" i="36"/>
  <c r="G474" i="36"/>
  <c r="E474" i="36"/>
  <c r="I473" i="36"/>
  <c r="G473" i="36"/>
  <c r="E473" i="36"/>
  <c r="I472" i="36"/>
  <c r="G472" i="36"/>
  <c r="E472" i="36"/>
  <c r="I471" i="36"/>
  <c r="G471" i="36"/>
  <c r="E471" i="36"/>
  <c r="I470" i="36"/>
  <c r="G470" i="36"/>
  <c r="E470" i="36"/>
  <c r="I469" i="36"/>
  <c r="G469" i="36"/>
  <c r="E469" i="36"/>
  <c r="I468" i="36"/>
  <c r="G468" i="36"/>
  <c r="E468" i="36"/>
  <c r="I467" i="36"/>
  <c r="G467" i="36"/>
  <c r="E467" i="36"/>
  <c r="I466" i="36"/>
  <c r="G466" i="36"/>
  <c r="E466" i="36"/>
  <c r="I465" i="36"/>
  <c r="G465" i="36"/>
  <c r="E465" i="36"/>
  <c r="I464" i="36"/>
  <c r="G464" i="36"/>
  <c r="E464" i="36"/>
  <c r="I463" i="36"/>
  <c r="G463" i="36"/>
  <c r="E463" i="36"/>
  <c r="I462" i="36"/>
  <c r="G462" i="36"/>
  <c r="E462" i="36"/>
  <c r="I461" i="36"/>
  <c r="G461" i="36"/>
  <c r="E461" i="36"/>
  <c r="I460" i="36"/>
  <c r="G460" i="36"/>
  <c r="E460" i="36"/>
  <c r="I459" i="36"/>
  <c r="G459" i="36"/>
  <c r="E459" i="36"/>
  <c r="I458" i="36"/>
  <c r="G458" i="36"/>
  <c r="E458" i="36"/>
  <c r="I457" i="36"/>
  <c r="G457" i="36"/>
  <c r="E457" i="36"/>
  <c r="I456" i="36"/>
  <c r="G456" i="36"/>
  <c r="E456" i="36"/>
  <c r="I455" i="36"/>
  <c r="G455" i="36"/>
  <c r="E455" i="36"/>
  <c r="I454" i="36"/>
  <c r="G454" i="36"/>
  <c r="E454" i="36"/>
  <c r="I453" i="36"/>
  <c r="G453" i="36"/>
  <c r="E453" i="36"/>
  <c r="I452" i="36"/>
  <c r="G452" i="36"/>
  <c r="E452" i="36"/>
  <c r="I451" i="36"/>
  <c r="G451" i="36"/>
  <c r="E451" i="36"/>
  <c r="I450" i="36"/>
  <c r="G450" i="36"/>
  <c r="E450" i="36"/>
  <c r="I449" i="36"/>
  <c r="G449" i="36"/>
  <c r="E449" i="36"/>
  <c r="I448" i="36"/>
  <c r="G448" i="36"/>
  <c r="E448" i="36"/>
  <c r="I447" i="36"/>
  <c r="G447" i="36"/>
  <c r="E447" i="36"/>
  <c r="I446" i="36"/>
  <c r="G446" i="36"/>
  <c r="E446" i="36"/>
  <c r="I445" i="36"/>
  <c r="G445" i="36"/>
  <c r="E445" i="36"/>
  <c r="I444" i="36"/>
  <c r="G444" i="36"/>
  <c r="E444" i="36"/>
  <c r="I443" i="36"/>
  <c r="G443" i="36"/>
  <c r="E443" i="36"/>
  <c r="I442" i="36"/>
  <c r="G442" i="36"/>
  <c r="E442" i="36"/>
  <c r="I441" i="36"/>
  <c r="G441" i="36"/>
  <c r="E441" i="36"/>
  <c r="I440" i="36"/>
  <c r="G440" i="36"/>
  <c r="E440" i="36"/>
  <c r="I439" i="36"/>
  <c r="G439" i="36"/>
  <c r="E439" i="36"/>
  <c r="I438" i="36"/>
  <c r="G438" i="36"/>
  <c r="E438" i="36"/>
  <c r="I437" i="36"/>
  <c r="G437" i="36"/>
  <c r="E437" i="36"/>
  <c r="I436" i="36"/>
  <c r="G436" i="36"/>
  <c r="E436" i="36"/>
  <c r="I435" i="36"/>
  <c r="G435" i="36"/>
  <c r="E435" i="36"/>
  <c r="I434" i="36"/>
  <c r="G434" i="36"/>
  <c r="E434" i="36"/>
  <c r="I433" i="36"/>
  <c r="G433" i="36"/>
  <c r="E433" i="36"/>
  <c r="I432" i="36"/>
  <c r="G432" i="36"/>
  <c r="E432" i="36"/>
  <c r="I431" i="36"/>
  <c r="G431" i="36"/>
  <c r="E431" i="36"/>
  <c r="I430" i="36"/>
  <c r="G430" i="36"/>
  <c r="E430" i="36"/>
  <c r="I429" i="36"/>
  <c r="G429" i="36"/>
  <c r="E429" i="36"/>
  <c r="I428" i="36"/>
  <c r="G428" i="36"/>
  <c r="E428" i="36"/>
  <c r="I427" i="36"/>
  <c r="G427" i="36"/>
  <c r="E427" i="36"/>
  <c r="I426" i="36"/>
  <c r="G426" i="36"/>
  <c r="E426" i="36"/>
  <c r="I425" i="36"/>
  <c r="G425" i="36"/>
  <c r="E425" i="36"/>
  <c r="I424" i="36"/>
  <c r="G424" i="36"/>
  <c r="E424" i="36"/>
  <c r="I423" i="36"/>
  <c r="G423" i="36"/>
  <c r="E423" i="36"/>
  <c r="I422" i="36"/>
  <c r="G422" i="36"/>
  <c r="E422" i="36"/>
  <c r="I421" i="36"/>
  <c r="G421" i="36"/>
  <c r="E421" i="36"/>
  <c r="I420" i="36"/>
  <c r="G420" i="36"/>
  <c r="E420" i="36"/>
  <c r="I419" i="36"/>
  <c r="G419" i="36"/>
  <c r="E419" i="36"/>
  <c r="I418" i="36"/>
  <c r="G418" i="36"/>
  <c r="E418" i="36"/>
  <c r="I417" i="36"/>
  <c r="G417" i="36"/>
  <c r="E417" i="36"/>
  <c r="I416" i="36"/>
  <c r="G416" i="36"/>
  <c r="E416" i="36"/>
  <c r="I415" i="36"/>
  <c r="G415" i="36"/>
  <c r="E415" i="36"/>
  <c r="I414" i="36"/>
  <c r="G414" i="36"/>
  <c r="E414" i="36"/>
  <c r="I413" i="36"/>
  <c r="G413" i="36"/>
  <c r="E413" i="36"/>
  <c r="I412" i="36"/>
  <c r="G412" i="36"/>
  <c r="E412" i="36"/>
  <c r="I411" i="36"/>
  <c r="G411" i="36"/>
  <c r="E411" i="36"/>
  <c r="I410" i="36"/>
  <c r="G410" i="36"/>
  <c r="E410" i="36"/>
  <c r="I409" i="36"/>
  <c r="G409" i="36"/>
  <c r="E409" i="36"/>
  <c r="I408" i="36"/>
  <c r="G408" i="36"/>
  <c r="E408" i="36"/>
  <c r="I407" i="36"/>
  <c r="G407" i="36"/>
  <c r="E407" i="36"/>
  <c r="I406" i="36"/>
  <c r="G406" i="36"/>
  <c r="E406" i="36"/>
  <c r="I405" i="36"/>
  <c r="G405" i="36"/>
  <c r="E405" i="36"/>
  <c r="I404" i="36"/>
  <c r="G404" i="36"/>
  <c r="E404" i="36"/>
  <c r="I403" i="36"/>
  <c r="G403" i="36"/>
  <c r="E403" i="36"/>
  <c r="I402" i="36"/>
  <c r="G402" i="36"/>
  <c r="E402" i="36"/>
  <c r="I401" i="36"/>
  <c r="G401" i="36"/>
  <c r="E401" i="36"/>
  <c r="I400" i="36"/>
  <c r="G400" i="36"/>
  <c r="E400" i="36"/>
  <c r="I399" i="36"/>
  <c r="G399" i="36"/>
  <c r="E399" i="36"/>
  <c r="I398" i="36"/>
  <c r="G398" i="36"/>
  <c r="E398" i="36"/>
  <c r="I397" i="36"/>
  <c r="G397" i="36"/>
  <c r="E397" i="36"/>
  <c r="I396" i="36"/>
  <c r="G396" i="36"/>
  <c r="E396" i="36"/>
  <c r="I395" i="36"/>
  <c r="G395" i="36"/>
  <c r="E395" i="36"/>
  <c r="I394" i="36"/>
  <c r="G394" i="36"/>
  <c r="E394" i="36"/>
  <c r="I393" i="36"/>
  <c r="G393" i="36"/>
  <c r="E393" i="36"/>
  <c r="I392" i="36"/>
  <c r="G392" i="36"/>
  <c r="E392" i="36"/>
  <c r="I391" i="36"/>
  <c r="G391" i="36"/>
  <c r="E391" i="36"/>
  <c r="I390" i="36"/>
  <c r="G390" i="36"/>
  <c r="E390" i="36"/>
  <c r="I389" i="36"/>
  <c r="G389" i="36"/>
  <c r="E389" i="36"/>
  <c r="I388" i="36"/>
  <c r="G388" i="36"/>
  <c r="E388" i="36"/>
  <c r="I387" i="36"/>
  <c r="G387" i="36"/>
  <c r="E387" i="36"/>
  <c r="I386" i="36"/>
  <c r="G386" i="36"/>
  <c r="E386" i="36"/>
  <c r="I385" i="36"/>
  <c r="G385" i="36"/>
  <c r="E385" i="36"/>
  <c r="I384" i="36"/>
  <c r="G384" i="36"/>
  <c r="E384" i="36"/>
  <c r="I383" i="36"/>
  <c r="G383" i="36"/>
  <c r="E383" i="36"/>
  <c r="I382" i="36"/>
  <c r="G382" i="36"/>
  <c r="E382" i="36"/>
  <c r="I381" i="36"/>
  <c r="G381" i="36"/>
  <c r="E381" i="36"/>
  <c r="I380" i="36"/>
  <c r="G380" i="36"/>
  <c r="E380" i="36"/>
  <c r="I379" i="36"/>
  <c r="G379" i="36"/>
  <c r="E379" i="36"/>
  <c r="I378" i="36"/>
  <c r="G378" i="36"/>
  <c r="E378" i="36"/>
  <c r="I377" i="36"/>
  <c r="G377" i="36"/>
  <c r="E377" i="36"/>
  <c r="I376" i="36"/>
  <c r="G376" i="36"/>
  <c r="E376" i="36"/>
  <c r="I375" i="36"/>
  <c r="G375" i="36"/>
  <c r="E375" i="36"/>
  <c r="I374" i="36"/>
  <c r="G374" i="36"/>
  <c r="E374" i="36"/>
  <c r="I373" i="36"/>
  <c r="G373" i="36"/>
  <c r="E373" i="36"/>
  <c r="I372" i="36"/>
  <c r="G372" i="36"/>
  <c r="E372" i="36"/>
  <c r="I371" i="36"/>
  <c r="G371" i="36"/>
  <c r="E371" i="36"/>
  <c r="I370" i="36"/>
  <c r="G370" i="36"/>
  <c r="E370" i="36"/>
  <c r="I369" i="36"/>
  <c r="G369" i="36"/>
  <c r="E369" i="36"/>
  <c r="I368" i="36"/>
  <c r="G368" i="36"/>
  <c r="E368" i="36"/>
  <c r="I367" i="36"/>
  <c r="G367" i="36"/>
  <c r="E367" i="36"/>
  <c r="I366" i="36"/>
  <c r="G366" i="36"/>
  <c r="E366" i="36"/>
  <c r="I365" i="36"/>
  <c r="G365" i="36"/>
  <c r="E365" i="36"/>
  <c r="I364" i="36"/>
  <c r="G364" i="36"/>
  <c r="E364" i="36"/>
  <c r="I363" i="36"/>
  <c r="G363" i="36"/>
  <c r="E363" i="36"/>
  <c r="I362" i="36"/>
  <c r="G362" i="36"/>
  <c r="E362" i="36"/>
  <c r="I361" i="36"/>
  <c r="G361" i="36"/>
  <c r="E361" i="36"/>
  <c r="I360" i="36"/>
  <c r="G360" i="36"/>
  <c r="E360" i="36"/>
  <c r="I359" i="36"/>
  <c r="G359" i="36"/>
  <c r="E359" i="36"/>
  <c r="I358" i="36"/>
  <c r="G358" i="36"/>
  <c r="E358" i="36"/>
  <c r="I357" i="36"/>
  <c r="G357" i="36"/>
  <c r="E357" i="36"/>
  <c r="I356" i="36"/>
  <c r="G356" i="36"/>
  <c r="E356" i="36"/>
  <c r="I355" i="36"/>
  <c r="G355" i="36"/>
  <c r="E355" i="36"/>
  <c r="I354" i="36"/>
  <c r="G354" i="36"/>
  <c r="E354" i="36"/>
  <c r="I353" i="36"/>
  <c r="G353" i="36"/>
  <c r="E353" i="36"/>
  <c r="I352" i="36"/>
  <c r="G352" i="36"/>
  <c r="E352" i="36"/>
  <c r="I351" i="36"/>
  <c r="G351" i="36"/>
  <c r="E351" i="36"/>
  <c r="I350" i="36"/>
  <c r="G350" i="36"/>
  <c r="E350" i="36"/>
  <c r="I349" i="36"/>
  <c r="G349" i="36"/>
  <c r="E349" i="36"/>
  <c r="I348" i="36"/>
  <c r="G348" i="36"/>
  <c r="E348" i="36"/>
  <c r="I347" i="36"/>
  <c r="G347" i="36"/>
  <c r="E347" i="36"/>
  <c r="I346" i="36"/>
  <c r="G346" i="36"/>
  <c r="E346" i="36"/>
  <c r="I345" i="36"/>
  <c r="G345" i="36"/>
  <c r="E345" i="36"/>
  <c r="I344" i="36"/>
  <c r="G344" i="36"/>
  <c r="E344" i="36"/>
  <c r="I343" i="36"/>
  <c r="G343" i="36"/>
  <c r="E343" i="36"/>
  <c r="I342" i="36"/>
  <c r="G342" i="36"/>
  <c r="E342" i="36"/>
  <c r="I341" i="36"/>
  <c r="G341" i="36"/>
  <c r="E341" i="36"/>
  <c r="I340" i="36"/>
  <c r="G340" i="36"/>
  <c r="E340" i="36"/>
  <c r="I339" i="36"/>
  <c r="G339" i="36"/>
  <c r="E339" i="36"/>
  <c r="I338" i="36"/>
  <c r="G338" i="36"/>
  <c r="E338" i="36"/>
  <c r="I337" i="36"/>
  <c r="G337" i="36"/>
  <c r="E337" i="36"/>
  <c r="I336" i="36"/>
  <c r="G336" i="36"/>
  <c r="E336" i="36"/>
  <c r="I335" i="36"/>
  <c r="G335" i="36"/>
  <c r="E335" i="36"/>
  <c r="I334" i="36"/>
  <c r="G334" i="36"/>
  <c r="E334" i="36"/>
  <c r="I333" i="36"/>
  <c r="G333" i="36"/>
  <c r="E333" i="36"/>
  <c r="I332" i="36"/>
  <c r="G332" i="36"/>
  <c r="E332" i="36"/>
  <c r="I331" i="36"/>
  <c r="G331" i="36"/>
  <c r="E331" i="36"/>
  <c r="I330" i="36"/>
  <c r="G330" i="36"/>
  <c r="E330" i="36"/>
  <c r="I329" i="36"/>
  <c r="G329" i="36"/>
  <c r="E329" i="36"/>
  <c r="I328" i="36"/>
  <c r="G328" i="36"/>
  <c r="E328" i="36"/>
  <c r="I327" i="36"/>
  <c r="G327" i="36"/>
  <c r="E327" i="36"/>
  <c r="I326" i="36"/>
  <c r="G326" i="36"/>
  <c r="E326" i="36"/>
  <c r="I325" i="36"/>
  <c r="G325" i="36"/>
  <c r="E325" i="36"/>
  <c r="I324" i="36"/>
  <c r="G324" i="36"/>
  <c r="E324" i="36"/>
  <c r="I323" i="36"/>
  <c r="G323" i="36"/>
  <c r="E323" i="36"/>
  <c r="I322" i="36"/>
  <c r="G322" i="36"/>
  <c r="E322" i="36"/>
  <c r="I321" i="36"/>
  <c r="G321" i="36"/>
  <c r="E321" i="36"/>
  <c r="I320" i="36"/>
  <c r="G320" i="36"/>
  <c r="E320" i="36"/>
  <c r="I319" i="36"/>
  <c r="G319" i="36"/>
  <c r="E319" i="36"/>
  <c r="I318" i="36"/>
  <c r="G318" i="36"/>
  <c r="E318" i="36"/>
  <c r="I317" i="36"/>
  <c r="G317" i="36"/>
  <c r="E317" i="36"/>
  <c r="I316" i="36"/>
  <c r="G316" i="36"/>
  <c r="E316" i="36"/>
  <c r="I315" i="36"/>
  <c r="G315" i="36"/>
  <c r="E315" i="36"/>
  <c r="I314" i="36"/>
  <c r="G314" i="36"/>
  <c r="E314" i="36"/>
  <c r="I313" i="36"/>
  <c r="G313" i="36"/>
  <c r="E313" i="36"/>
  <c r="I312" i="36"/>
  <c r="G312" i="36"/>
  <c r="E312" i="36"/>
  <c r="I311" i="36"/>
  <c r="G311" i="36"/>
  <c r="E311" i="36"/>
  <c r="I310" i="36"/>
  <c r="G310" i="36"/>
  <c r="E310" i="36"/>
  <c r="I309" i="36"/>
  <c r="G309" i="36"/>
  <c r="E309" i="36"/>
  <c r="I308" i="36"/>
  <c r="G308" i="36"/>
  <c r="E308" i="36"/>
  <c r="I307" i="36"/>
  <c r="G307" i="36"/>
  <c r="E307" i="36"/>
  <c r="I306" i="36"/>
  <c r="G306" i="36"/>
  <c r="E306" i="36"/>
  <c r="I305" i="36"/>
  <c r="G305" i="36"/>
  <c r="E305" i="36"/>
  <c r="I304" i="36"/>
  <c r="G304" i="36"/>
  <c r="E304" i="36"/>
  <c r="I303" i="36"/>
  <c r="G303" i="36"/>
  <c r="E303" i="36"/>
  <c r="I302" i="36"/>
  <c r="G302" i="36"/>
  <c r="E302" i="36"/>
  <c r="I301" i="36"/>
  <c r="G301" i="36"/>
  <c r="E301" i="36"/>
  <c r="I300" i="36"/>
  <c r="G300" i="36"/>
  <c r="E300" i="36"/>
  <c r="I299" i="36"/>
  <c r="G299" i="36"/>
  <c r="E299" i="36"/>
  <c r="I298" i="36"/>
  <c r="G298" i="36"/>
  <c r="E298" i="36"/>
  <c r="I297" i="36"/>
  <c r="G297" i="36"/>
  <c r="E297" i="36"/>
  <c r="I296" i="36"/>
  <c r="G296" i="36"/>
  <c r="E296" i="36"/>
  <c r="I295" i="36"/>
  <c r="G295" i="36"/>
  <c r="E295" i="36"/>
  <c r="I294" i="36"/>
  <c r="G294" i="36"/>
  <c r="E294" i="36"/>
  <c r="I293" i="36"/>
  <c r="G293" i="36"/>
  <c r="E293" i="36"/>
  <c r="I292" i="36"/>
  <c r="G292" i="36"/>
  <c r="E292" i="36"/>
  <c r="I291" i="36"/>
  <c r="G291" i="36"/>
  <c r="E291" i="36"/>
  <c r="I290" i="36"/>
  <c r="G290" i="36"/>
  <c r="E290" i="36"/>
  <c r="I289" i="36"/>
  <c r="G289" i="36"/>
  <c r="E289" i="36"/>
  <c r="I288" i="36"/>
  <c r="G288" i="36"/>
  <c r="E288" i="36"/>
  <c r="I287" i="36"/>
  <c r="G287" i="36"/>
  <c r="E287" i="36"/>
  <c r="I286" i="36"/>
  <c r="G286" i="36"/>
  <c r="E286" i="36"/>
  <c r="I285" i="36"/>
  <c r="G285" i="36"/>
  <c r="E285" i="36"/>
  <c r="I284" i="36"/>
  <c r="G284" i="36"/>
  <c r="E284" i="36"/>
  <c r="I283" i="36"/>
  <c r="G283" i="36"/>
  <c r="E283" i="36"/>
  <c r="I282" i="36"/>
  <c r="G282" i="36"/>
  <c r="E282" i="36"/>
  <c r="I281" i="36"/>
  <c r="G281" i="36"/>
  <c r="E281" i="36"/>
  <c r="I280" i="36"/>
  <c r="G280" i="36"/>
  <c r="E280" i="36"/>
  <c r="I279" i="36"/>
  <c r="G279" i="36"/>
  <c r="E279" i="36"/>
  <c r="I278" i="36"/>
  <c r="G278" i="36"/>
  <c r="E278" i="36"/>
  <c r="I277" i="36"/>
  <c r="G277" i="36"/>
  <c r="E277" i="36"/>
  <c r="I276" i="36"/>
  <c r="G276" i="36"/>
  <c r="E276" i="36"/>
  <c r="I275" i="36"/>
  <c r="G275" i="36"/>
  <c r="E275" i="36"/>
  <c r="I274" i="36"/>
  <c r="G274" i="36"/>
  <c r="E274" i="36"/>
  <c r="I273" i="36"/>
  <c r="G273" i="36"/>
  <c r="E273" i="36"/>
  <c r="I272" i="36"/>
  <c r="G272" i="36"/>
  <c r="E272" i="36"/>
  <c r="I271" i="36"/>
  <c r="G271" i="36"/>
  <c r="E271" i="36"/>
  <c r="I270" i="36"/>
  <c r="G270" i="36"/>
  <c r="E270" i="36"/>
  <c r="I269" i="36"/>
  <c r="G269" i="36"/>
  <c r="E269" i="36"/>
  <c r="I268" i="36"/>
  <c r="G268" i="36"/>
  <c r="E268" i="36"/>
  <c r="I267" i="36"/>
  <c r="G267" i="36"/>
  <c r="E267" i="36"/>
  <c r="I266" i="36"/>
  <c r="G266" i="36"/>
  <c r="E266" i="36"/>
  <c r="I265" i="36"/>
  <c r="G265" i="36"/>
  <c r="E265" i="36"/>
  <c r="I264" i="36"/>
  <c r="G264" i="36"/>
  <c r="E264" i="36"/>
  <c r="I263" i="36"/>
  <c r="G263" i="36"/>
  <c r="E263" i="36"/>
  <c r="I262" i="36"/>
  <c r="G262" i="36"/>
  <c r="E262" i="36"/>
  <c r="I261" i="36"/>
  <c r="G261" i="36"/>
  <c r="E261" i="36"/>
  <c r="I260" i="36"/>
  <c r="G260" i="36"/>
  <c r="E260" i="36"/>
  <c r="I259" i="36"/>
  <c r="G259" i="36"/>
  <c r="E259" i="36"/>
  <c r="I258" i="36"/>
  <c r="G258" i="36"/>
  <c r="E258" i="36"/>
  <c r="I257" i="36"/>
  <c r="G257" i="36"/>
  <c r="E257" i="36"/>
  <c r="I256" i="36"/>
  <c r="G256" i="36"/>
  <c r="E256" i="36"/>
  <c r="I255" i="36"/>
  <c r="G255" i="36"/>
  <c r="E255" i="36"/>
  <c r="I254" i="36"/>
  <c r="G254" i="36"/>
  <c r="E254" i="36"/>
  <c r="I253" i="36"/>
  <c r="G253" i="36"/>
  <c r="E253" i="36"/>
  <c r="I252" i="36"/>
  <c r="G252" i="36"/>
  <c r="E252" i="36"/>
  <c r="I251" i="36"/>
  <c r="G251" i="36"/>
  <c r="E251" i="36"/>
  <c r="I250" i="36"/>
  <c r="G250" i="36"/>
  <c r="E250" i="36"/>
  <c r="I249" i="36"/>
  <c r="G249" i="36"/>
  <c r="E249" i="36"/>
  <c r="I248" i="36"/>
  <c r="G248" i="36"/>
  <c r="E248" i="36"/>
  <c r="I247" i="36"/>
  <c r="G247" i="36"/>
  <c r="E247" i="36"/>
  <c r="I246" i="36"/>
  <c r="G246" i="36"/>
  <c r="E246" i="36"/>
  <c r="I245" i="36"/>
  <c r="G245" i="36"/>
  <c r="E245" i="36"/>
  <c r="I244" i="36"/>
  <c r="G244" i="36"/>
  <c r="E244" i="36"/>
  <c r="I243" i="36"/>
  <c r="G243" i="36"/>
  <c r="E243" i="36"/>
  <c r="I242" i="36"/>
  <c r="G242" i="36"/>
  <c r="E242" i="36"/>
  <c r="I241" i="36"/>
  <c r="G241" i="36"/>
  <c r="E241" i="36"/>
  <c r="I240" i="36"/>
  <c r="G240" i="36"/>
  <c r="E240" i="36"/>
  <c r="I239" i="36"/>
  <c r="G239" i="36"/>
  <c r="E239" i="36"/>
  <c r="I238" i="36"/>
  <c r="G238" i="36"/>
  <c r="E238" i="36"/>
  <c r="I237" i="36"/>
  <c r="G237" i="36"/>
  <c r="E237" i="36"/>
  <c r="I236" i="36"/>
  <c r="G236" i="36"/>
  <c r="E236" i="36"/>
  <c r="I235" i="36"/>
  <c r="G235" i="36"/>
  <c r="E235" i="36"/>
  <c r="I234" i="36"/>
  <c r="G234" i="36"/>
  <c r="E234" i="36"/>
  <c r="I233" i="36"/>
  <c r="G233" i="36"/>
  <c r="E233" i="36"/>
  <c r="I232" i="36"/>
  <c r="G232" i="36"/>
  <c r="E232" i="36"/>
  <c r="I231" i="36"/>
  <c r="G231" i="36"/>
  <c r="E231" i="36"/>
  <c r="I230" i="36"/>
  <c r="G230" i="36"/>
  <c r="E230" i="36"/>
  <c r="I229" i="36"/>
  <c r="G229" i="36"/>
  <c r="E229" i="36"/>
  <c r="I228" i="36"/>
  <c r="G228" i="36"/>
  <c r="E228" i="36"/>
  <c r="I227" i="36"/>
  <c r="G227" i="36"/>
  <c r="E227" i="36"/>
  <c r="I226" i="36"/>
  <c r="G226" i="36"/>
  <c r="E226" i="36"/>
  <c r="I225" i="36"/>
  <c r="G225" i="36"/>
  <c r="E225" i="36"/>
  <c r="I224" i="36"/>
  <c r="G224" i="36"/>
  <c r="E224" i="36"/>
  <c r="I223" i="36"/>
  <c r="G223" i="36"/>
  <c r="E223" i="36"/>
  <c r="I222" i="36"/>
  <c r="G222" i="36"/>
  <c r="E222" i="36"/>
  <c r="I221" i="36"/>
  <c r="G221" i="36"/>
  <c r="E221" i="36"/>
  <c r="I220" i="36"/>
  <c r="G220" i="36"/>
  <c r="E220" i="36"/>
  <c r="I219" i="36"/>
  <c r="G219" i="36"/>
  <c r="E219" i="36"/>
  <c r="I218" i="36"/>
  <c r="G218" i="36"/>
  <c r="E218" i="36"/>
  <c r="I217" i="36"/>
  <c r="G217" i="36"/>
  <c r="E217" i="36"/>
  <c r="I216" i="36"/>
  <c r="G216" i="36"/>
  <c r="E216" i="36"/>
  <c r="I215" i="36"/>
  <c r="G215" i="36"/>
  <c r="E215" i="36"/>
  <c r="I214" i="36"/>
  <c r="G214" i="36"/>
  <c r="E214" i="36"/>
  <c r="I213" i="36"/>
  <c r="G213" i="36"/>
  <c r="E213" i="36"/>
  <c r="I212" i="36"/>
  <c r="G212" i="36"/>
  <c r="E212" i="36"/>
  <c r="I211" i="36"/>
  <c r="G211" i="36"/>
  <c r="E211" i="36"/>
  <c r="I210" i="36"/>
  <c r="G210" i="36"/>
  <c r="E210" i="36"/>
  <c r="I209" i="36"/>
  <c r="G209" i="36"/>
  <c r="E209" i="36"/>
  <c r="I208" i="36"/>
  <c r="G208" i="36"/>
  <c r="E208" i="36"/>
  <c r="I207" i="36"/>
  <c r="G207" i="36"/>
  <c r="E207" i="36"/>
  <c r="I206" i="36"/>
  <c r="G206" i="36"/>
  <c r="E206" i="36"/>
  <c r="I205" i="36"/>
  <c r="G205" i="36"/>
  <c r="E205" i="36"/>
  <c r="I204" i="36"/>
  <c r="G204" i="36"/>
  <c r="E204" i="36"/>
  <c r="I203" i="36"/>
  <c r="G203" i="36"/>
  <c r="E203" i="36"/>
  <c r="I202" i="36"/>
  <c r="G202" i="36"/>
  <c r="E202" i="36"/>
  <c r="I201" i="36"/>
  <c r="G201" i="36"/>
  <c r="E201" i="36"/>
  <c r="I200" i="36"/>
  <c r="G200" i="36"/>
  <c r="E200" i="36"/>
  <c r="I199" i="36"/>
  <c r="G199" i="36"/>
  <c r="E199" i="36"/>
  <c r="I198" i="36"/>
  <c r="G198" i="36"/>
  <c r="E198" i="36"/>
  <c r="I197" i="36"/>
  <c r="G197" i="36"/>
  <c r="E197" i="36"/>
  <c r="I196" i="36"/>
  <c r="G196" i="36"/>
  <c r="E196" i="36"/>
  <c r="I195" i="36"/>
  <c r="G195" i="36"/>
  <c r="E195" i="36"/>
  <c r="I194" i="36"/>
  <c r="G194" i="36"/>
  <c r="E194" i="36"/>
  <c r="I193" i="36"/>
  <c r="G193" i="36"/>
  <c r="E193" i="36"/>
  <c r="I192" i="36"/>
  <c r="G192" i="36"/>
  <c r="E192" i="36"/>
  <c r="I191" i="36"/>
  <c r="G191" i="36"/>
  <c r="E191" i="36"/>
  <c r="I190" i="36"/>
  <c r="G190" i="36"/>
  <c r="E190" i="36"/>
  <c r="I189" i="36"/>
  <c r="G189" i="36"/>
  <c r="E189" i="36"/>
  <c r="I188" i="36"/>
  <c r="G188" i="36"/>
  <c r="E188" i="36"/>
  <c r="I187" i="36"/>
  <c r="G187" i="36"/>
  <c r="E187" i="36"/>
  <c r="I186" i="36"/>
  <c r="G186" i="36"/>
  <c r="E186" i="36"/>
  <c r="I185" i="36"/>
  <c r="G185" i="36"/>
  <c r="E185" i="36"/>
  <c r="I184" i="36"/>
  <c r="G184" i="36"/>
  <c r="E184" i="36"/>
  <c r="I183" i="36"/>
  <c r="G183" i="36"/>
  <c r="E183" i="36"/>
  <c r="I182" i="36"/>
  <c r="G182" i="36"/>
  <c r="E182" i="36"/>
  <c r="I181" i="36"/>
  <c r="G181" i="36"/>
  <c r="E181" i="36"/>
  <c r="I180" i="36"/>
  <c r="G180" i="36"/>
  <c r="E180" i="36"/>
  <c r="I179" i="36"/>
  <c r="G179" i="36"/>
  <c r="E179" i="36"/>
  <c r="I178" i="36"/>
  <c r="G178" i="36"/>
  <c r="E178" i="36"/>
  <c r="I177" i="36"/>
  <c r="G177" i="36"/>
  <c r="E177" i="36"/>
  <c r="I176" i="36"/>
  <c r="G176" i="36"/>
  <c r="E176" i="36"/>
  <c r="I175" i="36"/>
  <c r="G175" i="36"/>
  <c r="E175" i="36"/>
  <c r="I174" i="36"/>
  <c r="G174" i="36"/>
  <c r="E174" i="36"/>
  <c r="I173" i="36"/>
  <c r="G173" i="36"/>
  <c r="E173" i="36"/>
  <c r="I172" i="36"/>
  <c r="G172" i="36"/>
  <c r="E172" i="36"/>
  <c r="I171" i="36"/>
  <c r="G171" i="36"/>
  <c r="E171" i="36"/>
  <c r="I170" i="36"/>
  <c r="G170" i="36"/>
  <c r="E170" i="36"/>
  <c r="I169" i="36"/>
  <c r="G169" i="36"/>
  <c r="E169" i="36"/>
  <c r="I168" i="36"/>
  <c r="G168" i="36"/>
  <c r="E168" i="36"/>
  <c r="I167" i="36"/>
  <c r="G167" i="36"/>
  <c r="E167" i="36"/>
  <c r="I166" i="36"/>
  <c r="G166" i="36"/>
  <c r="E166" i="36"/>
  <c r="I165" i="36"/>
  <c r="G165" i="36"/>
  <c r="E165" i="36"/>
  <c r="I164" i="36"/>
  <c r="G164" i="36"/>
  <c r="E164" i="36"/>
  <c r="I163" i="36"/>
  <c r="G163" i="36"/>
  <c r="E163" i="36"/>
  <c r="I162" i="36"/>
  <c r="G162" i="36"/>
  <c r="E162" i="36"/>
  <c r="I161" i="36"/>
  <c r="G161" i="36"/>
  <c r="E161" i="36"/>
  <c r="I160" i="36"/>
  <c r="G160" i="36"/>
  <c r="E160" i="36"/>
  <c r="I159" i="36"/>
  <c r="G159" i="36"/>
  <c r="E159" i="36"/>
  <c r="I158" i="36"/>
  <c r="G158" i="36"/>
  <c r="E158" i="36"/>
  <c r="I157" i="36"/>
  <c r="G157" i="36"/>
  <c r="E157" i="36"/>
  <c r="I156" i="36"/>
  <c r="G156" i="36"/>
  <c r="E156" i="36"/>
  <c r="I155" i="36"/>
  <c r="G155" i="36"/>
  <c r="E155" i="36"/>
  <c r="I154" i="36"/>
  <c r="G154" i="36"/>
  <c r="E154" i="36"/>
  <c r="I153" i="36"/>
  <c r="G153" i="36"/>
  <c r="E153" i="36"/>
  <c r="I152" i="36"/>
  <c r="G152" i="36"/>
  <c r="E152" i="36"/>
  <c r="I151" i="36"/>
  <c r="G151" i="36"/>
  <c r="E151" i="36"/>
  <c r="I150" i="36"/>
  <c r="G150" i="36"/>
  <c r="E150" i="36"/>
  <c r="I149" i="36"/>
  <c r="G149" i="36"/>
  <c r="E149" i="36"/>
  <c r="I148" i="36"/>
  <c r="G148" i="36"/>
  <c r="E148" i="36"/>
  <c r="I147" i="36"/>
  <c r="G147" i="36"/>
  <c r="E147" i="36"/>
  <c r="I146" i="36"/>
  <c r="G146" i="36"/>
  <c r="E146" i="36"/>
  <c r="I145" i="36"/>
  <c r="G145" i="36"/>
  <c r="E145" i="36"/>
  <c r="I144" i="36"/>
  <c r="G144" i="36"/>
  <c r="E144" i="36"/>
  <c r="I143" i="36"/>
  <c r="G143" i="36"/>
  <c r="E143" i="36"/>
  <c r="I142" i="36"/>
  <c r="G142" i="36"/>
  <c r="E142" i="36"/>
  <c r="I141" i="36"/>
  <c r="G141" i="36"/>
  <c r="E141" i="36"/>
  <c r="I140" i="36"/>
  <c r="G140" i="36"/>
  <c r="E140" i="36"/>
  <c r="I139" i="36"/>
  <c r="G139" i="36"/>
  <c r="E139" i="36"/>
  <c r="I138" i="36"/>
  <c r="G138" i="36"/>
  <c r="E138" i="36"/>
  <c r="I137" i="36"/>
  <c r="G137" i="36"/>
  <c r="E137" i="36"/>
  <c r="I136" i="36"/>
  <c r="G136" i="36"/>
  <c r="E136" i="36"/>
  <c r="I135" i="36"/>
  <c r="G135" i="36"/>
  <c r="E135" i="36"/>
  <c r="I134" i="36"/>
  <c r="G134" i="36"/>
  <c r="E134" i="36"/>
  <c r="I133" i="36"/>
  <c r="G133" i="36"/>
  <c r="E133" i="36"/>
  <c r="I132" i="36"/>
  <c r="G132" i="36"/>
  <c r="E132" i="36"/>
  <c r="I131" i="36"/>
  <c r="G131" i="36"/>
  <c r="E131" i="36"/>
  <c r="I130" i="36"/>
  <c r="G130" i="36"/>
  <c r="E130" i="36"/>
  <c r="I129" i="36"/>
  <c r="G129" i="36"/>
  <c r="E129" i="36"/>
  <c r="I128" i="36"/>
  <c r="G128" i="36"/>
  <c r="E128" i="36"/>
  <c r="I127" i="36"/>
  <c r="G127" i="36"/>
  <c r="E127" i="36"/>
  <c r="I126" i="36"/>
  <c r="G126" i="36"/>
  <c r="E126" i="36"/>
  <c r="I125" i="36"/>
  <c r="G125" i="36"/>
  <c r="E125" i="36"/>
  <c r="I124" i="36"/>
  <c r="G124" i="36"/>
  <c r="E124" i="36"/>
  <c r="I123" i="36"/>
  <c r="G123" i="36"/>
  <c r="E123" i="36"/>
  <c r="I122" i="36"/>
  <c r="G122" i="36"/>
  <c r="E122" i="36"/>
  <c r="I121" i="36"/>
  <c r="G121" i="36"/>
  <c r="E121" i="36"/>
  <c r="I120" i="36"/>
  <c r="G120" i="36"/>
  <c r="E120" i="36"/>
  <c r="I119" i="36"/>
  <c r="G119" i="36"/>
  <c r="E119" i="36"/>
  <c r="I118" i="36"/>
  <c r="G118" i="36"/>
  <c r="E118" i="36"/>
  <c r="I117" i="36"/>
  <c r="G117" i="36"/>
  <c r="E117" i="36"/>
  <c r="I116" i="36"/>
  <c r="G116" i="36"/>
  <c r="E116" i="36"/>
  <c r="I115" i="36"/>
  <c r="G115" i="36"/>
  <c r="E115" i="36"/>
  <c r="I114" i="36"/>
  <c r="G114" i="36"/>
  <c r="E114" i="36"/>
  <c r="I113" i="36"/>
  <c r="G113" i="36"/>
  <c r="E113" i="36"/>
  <c r="I112" i="36"/>
  <c r="G112" i="36"/>
  <c r="E112" i="36"/>
  <c r="I111" i="36"/>
  <c r="G111" i="36"/>
  <c r="E111" i="36"/>
  <c r="I110" i="36"/>
  <c r="G110" i="36"/>
  <c r="E110" i="36"/>
  <c r="I109" i="36"/>
  <c r="G109" i="36"/>
  <c r="E109" i="36"/>
  <c r="I108" i="36"/>
  <c r="G108" i="36"/>
  <c r="E108" i="36"/>
  <c r="I107" i="36"/>
  <c r="G107" i="36"/>
  <c r="E107" i="36"/>
  <c r="I106" i="36"/>
  <c r="G106" i="36"/>
  <c r="E106" i="36"/>
  <c r="I105" i="36"/>
  <c r="G105" i="36"/>
  <c r="E105" i="36"/>
  <c r="I104" i="36"/>
  <c r="G104" i="36"/>
  <c r="E104" i="36"/>
  <c r="I103" i="36"/>
  <c r="G103" i="36"/>
  <c r="E103" i="36"/>
  <c r="I102" i="36"/>
  <c r="G102" i="36"/>
  <c r="E102" i="36"/>
  <c r="I101" i="36"/>
  <c r="G101" i="36"/>
  <c r="E101" i="36"/>
  <c r="I100" i="36"/>
  <c r="G100" i="36"/>
  <c r="E100" i="36"/>
  <c r="I99" i="36"/>
  <c r="G99" i="36"/>
  <c r="E99" i="36"/>
  <c r="I98" i="36"/>
  <c r="G98" i="36"/>
  <c r="E98" i="36"/>
  <c r="I97" i="36"/>
  <c r="G97" i="36"/>
  <c r="E97" i="36"/>
  <c r="I96" i="36"/>
  <c r="G96" i="36"/>
  <c r="E96" i="36"/>
  <c r="I95" i="36"/>
  <c r="G95" i="36"/>
  <c r="E95" i="36"/>
  <c r="I94" i="36"/>
  <c r="G94" i="36"/>
  <c r="E94" i="36"/>
  <c r="I93" i="36"/>
  <c r="G93" i="36"/>
  <c r="E93" i="36"/>
  <c r="I92" i="36"/>
  <c r="G92" i="36"/>
  <c r="E92" i="36"/>
  <c r="I91" i="36"/>
  <c r="G91" i="36"/>
  <c r="E91" i="36"/>
  <c r="I90" i="36"/>
  <c r="G90" i="36"/>
  <c r="E90" i="36"/>
  <c r="I89" i="36"/>
  <c r="G89" i="36"/>
  <c r="E89" i="36"/>
  <c r="I88" i="36"/>
  <c r="G88" i="36"/>
  <c r="E88" i="36"/>
  <c r="I87" i="36"/>
  <c r="G87" i="36"/>
  <c r="E87" i="36"/>
  <c r="I86" i="36"/>
  <c r="G86" i="36"/>
  <c r="E86" i="36"/>
  <c r="I85" i="36"/>
  <c r="G85" i="36"/>
  <c r="E85" i="36"/>
  <c r="I84" i="36"/>
  <c r="G84" i="36"/>
  <c r="E84" i="36"/>
  <c r="I83" i="36"/>
  <c r="G83" i="36"/>
  <c r="E83" i="36"/>
  <c r="I82" i="36"/>
  <c r="G82" i="36"/>
  <c r="E82" i="36"/>
  <c r="I81" i="36"/>
  <c r="G81" i="36"/>
  <c r="E81" i="36"/>
  <c r="I80" i="36"/>
  <c r="G80" i="36"/>
  <c r="E80" i="36"/>
  <c r="I79" i="36"/>
  <c r="G79" i="36"/>
  <c r="E79" i="36"/>
  <c r="I78" i="36"/>
  <c r="G78" i="36"/>
  <c r="E78" i="36"/>
  <c r="I77" i="36"/>
  <c r="G77" i="36"/>
  <c r="E77" i="36"/>
  <c r="I76" i="36"/>
  <c r="G76" i="36"/>
  <c r="E76" i="36"/>
  <c r="I75" i="36"/>
  <c r="G75" i="36"/>
  <c r="E75" i="36"/>
  <c r="I74" i="36"/>
  <c r="G74" i="36"/>
  <c r="E74" i="36"/>
  <c r="I73" i="36"/>
  <c r="G73" i="36"/>
  <c r="E73" i="36"/>
  <c r="I72" i="36"/>
  <c r="G72" i="36"/>
  <c r="E72" i="36"/>
  <c r="I71" i="36"/>
  <c r="G71" i="36"/>
  <c r="E71" i="36"/>
  <c r="I70" i="36"/>
  <c r="G70" i="36"/>
  <c r="E70" i="36"/>
  <c r="I69" i="36"/>
  <c r="G69" i="36"/>
  <c r="E69" i="36"/>
  <c r="I68" i="36"/>
  <c r="G68" i="36"/>
  <c r="E68" i="36"/>
  <c r="I67" i="36"/>
  <c r="G67" i="36"/>
  <c r="E67" i="36"/>
  <c r="I66" i="36"/>
  <c r="G66" i="36"/>
  <c r="E66" i="36"/>
  <c r="I65" i="36"/>
  <c r="G65" i="36"/>
  <c r="E65" i="36"/>
  <c r="I64" i="36"/>
  <c r="G64" i="36"/>
  <c r="E64" i="36"/>
  <c r="I63" i="36"/>
  <c r="G63" i="36"/>
  <c r="E63" i="36"/>
  <c r="I62" i="36"/>
  <c r="G62" i="36"/>
  <c r="E62" i="36"/>
  <c r="I61" i="36"/>
  <c r="G61" i="36"/>
  <c r="E61" i="36"/>
  <c r="I60" i="36"/>
  <c r="G60" i="36"/>
  <c r="E60" i="36"/>
  <c r="I59" i="36"/>
  <c r="G59" i="36"/>
  <c r="E59" i="36"/>
  <c r="I58" i="36"/>
  <c r="G58" i="36"/>
  <c r="E58" i="36"/>
  <c r="I57" i="36"/>
  <c r="G57" i="36"/>
  <c r="E57" i="36"/>
  <c r="I56" i="36"/>
  <c r="G56" i="36"/>
  <c r="E56" i="36"/>
  <c r="I55" i="36"/>
  <c r="G55" i="36"/>
  <c r="E55" i="36"/>
  <c r="I54" i="36"/>
  <c r="G54" i="36"/>
  <c r="E54" i="36"/>
  <c r="I53" i="36"/>
  <c r="G53" i="36"/>
  <c r="E53" i="36"/>
  <c r="I52" i="36"/>
  <c r="G52" i="36"/>
  <c r="E52" i="36"/>
  <c r="I51" i="36"/>
  <c r="G51" i="36"/>
  <c r="E51" i="36"/>
  <c r="I50" i="36"/>
  <c r="G50" i="36"/>
  <c r="E50" i="36"/>
  <c r="I49" i="36"/>
  <c r="G49" i="36"/>
  <c r="E49" i="36"/>
  <c r="I48" i="36"/>
  <c r="G48" i="36"/>
  <c r="E48" i="36"/>
  <c r="I47" i="36"/>
  <c r="G47" i="36"/>
  <c r="E47" i="36"/>
  <c r="I46" i="36"/>
  <c r="G46" i="36"/>
  <c r="E46" i="36"/>
  <c r="I45" i="36"/>
  <c r="G45" i="36"/>
  <c r="E45" i="36"/>
  <c r="I44" i="36"/>
  <c r="G44" i="36"/>
  <c r="E44" i="36"/>
  <c r="I43" i="36"/>
  <c r="G43" i="36"/>
  <c r="E43" i="36"/>
  <c r="I42" i="36"/>
  <c r="G42" i="36"/>
  <c r="E42" i="36"/>
  <c r="I41" i="36"/>
  <c r="G41" i="36"/>
  <c r="E41" i="36"/>
  <c r="I40" i="36"/>
  <c r="G40" i="36"/>
  <c r="E40" i="36"/>
  <c r="I39" i="36"/>
  <c r="G39" i="36"/>
  <c r="E39" i="36"/>
  <c r="I38" i="36"/>
  <c r="G38" i="36"/>
  <c r="E38" i="36"/>
  <c r="I37" i="36"/>
  <c r="G37" i="36"/>
  <c r="E37" i="36"/>
  <c r="I36" i="36"/>
  <c r="G36" i="36"/>
  <c r="E36" i="36"/>
  <c r="I35" i="36"/>
  <c r="G35" i="36"/>
  <c r="E35" i="36"/>
  <c r="I34" i="36"/>
  <c r="G34" i="36"/>
  <c r="E34" i="36"/>
  <c r="I33" i="36"/>
  <c r="G33" i="36"/>
  <c r="E33" i="36"/>
  <c r="I32" i="36"/>
  <c r="G32" i="36"/>
  <c r="E32" i="36"/>
  <c r="I31" i="36"/>
  <c r="G31" i="36"/>
  <c r="E31" i="36"/>
  <c r="I30" i="36"/>
  <c r="G30" i="36"/>
  <c r="E30" i="36"/>
  <c r="I29" i="36"/>
  <c r="G29" i="36"/>
  <c r="E29" i="36"/>
  <c r="I28" i="36"/>
  <c r="G28" i="36"/>
  <c r="E28" i="36"/>
  <c r="I27" i="36"/>
  <c r="G27" i="36"/>
  <c r="E27" i="36"/>
  <c r="I26" i="36"/>
  <c r="G26" i="36"/>
  <c r="E26" i="36"/>
  <c r="I25" i="36"/>
  <c r="G25" i="36"/>
  <c r="E25" i="36"/>
  <c r="I24" i="36"/>
  <c r="G24" i="36"/>
  <c r="E24" i="36"/>
  <c r="I23" i="36"/>
  <c r="G23" i="36"/>
  <c r="E23" i="36"/>
  <c r="I22" i="36"/>
  <c r="G22" i="36"/>
  <c r="E22" i="36"/>
  <c r="I21" i="36"/>
  <c r="G21" i="36"/>
  <c r="E21" i="36"/>
  <c r="I20" i="36"/>
  <c r="G20" i="36"/>
  <c r="E20" i="36"/>
  <c r="I19" i="36"/>
  <c r="G19" i="36"/>
  <c r="E19" i="36"/>
  <c r="I18" i="36"/>
  <c r="G18" i="36"/>
  <c r="E18" i="36"/>
  <c r="I17" i="36"/>
  <c r="G17" i="36"/>
  <c r="E17" i="36"/>
  <c r="I16" i="36"/>
  <c r="G16" i="36"/>
  <c r="E16" i="36"/>
  <c r="I15" i="36"/>
  <c r="G15" i="36"/>
  <c r="E15" i="36"/>
  <c r="I14" i="36"/>
  <c r="G14" i="36"/>
  <c r="E14" i="36"/>
  <c r="I13" i="36"/>
  <c r="G13" i="36"/>
  <c r="E13" i="36"/>
  <c r="I12" i="36"/>
  <c r="G12" i="36"/>
  <c r="E12" i="36"/>
  <c r="I11" i="36"/>
  <c r="G11" i="36"/>
  <c r="E11" i="36"/>
  <c r="I10" i="36"/>
  <c r="G10" i="36"/>
  <c r="E10" i="36"/>
  <c r="I9" i="36"/>
  <c r="G9" i="36"/>
  <c r="E9" i="36"/>
  <c r="I8" i="36"/>
  <c r="G8" i="36"/>
  <c r="E8" i="36"/>
  <c r="I7" i="36"/>
  <c r="G7" i="36"/>
  <c r="E7" i="36"/>
  <c r="I6" i="36"/>
  <c r="G6" i="36"/>
  <c r="E6" i="36"/>
  <c r="I5" i="36"/>
  <c r="G5" i="36"/>
  <c r="E5" i="36"/>
  <c r="I4" i="36"/>
  <c r="G4" i="36"/>
  <c r="E4" i="36"/>
  <c r="I3" i="36"/>
  <c r="G3" i="36"/>
  <c r="E3" i="36"/>
  <c r="I2" i="36"/>
  <c r="G2" i="36"/>
  <c r="E2" i="36"/>
  <c r="AE903" i="34"/>
  <c r="AD903" i="34"/>
  <c r="AF890" i="34"/>
  <c r="AF903" i="34"/>
  <c r="CL756" i="34"/>
  <c r="AE756" i="34"/>
  <c r="AE905" i="34"/>
  <c r="AD905" i="34"/>
  <c r="AF905" i="34"/>
  <c r="AF907" i="34"/>
</calcChain>
</file>

<file path=xl/comments1.xml><?xml version="1.0" encoding="utf-8"?>
<comments xmlns="http://schemas.openxmlformats.org/spreadsheetml/2006/main">
  <authors>
    <author>Dora Paratore</author>
  </authors>
  <commentList>
    <comment ref="AF48" authorId="0">
      <text>
        <r>
          <rPr>
            <b/>
            <sz val="8"/>
            <color indexed="81"/>
            <rFont val="Tahoma"/>
            <charset val="1"/>
          </rPr>
          <t>Dora Paratore:</t>
        </r>
        <r>
          <rPr>
            <sz val="8"/>
            <color indexed="81"/>
            <rFont val="Tahoma"/>
            <charset val="1"/>
          </rPr>
          <t xml:space="preserve">
7/29/13 email AA, why no contents value calculated?</t>
        </r>
      </text>
    </comment>
    <comment ref="F54" authorId="0">
      <text>
        <r>
          <rPr>
            <b/>
            <sz val="8"/>
            <color indexed="81"/>
            <rFont val="Tahoma"/>
            <charset val="1"/>
          </rPr>
          <t>Dora Paratore:</t>
        </r>
        <r>
          <rPr>
            <sz val="8"/>
            <color indexed="81"/>
            <rFont val="Tahoma"/>
            <charset val="1"/>
          </rPr>
          <t xml:space="preserve">
Lease w/State of FL &amp; Property appraiser shows 420 Stockton St.</t>
        </r>
      </text>
    </comment>
    <comment ref="F506" authorId="0">
      <text>
        <r>
          <rPr>
            <b/>
            <sz val="8"/>
            <color indexed="81"/>
            <rFont val="Tahoma"/>
            <charset val="1"/>
          </rPr>
          <t xml:space="preserve">Dora Paratore:
</t>
        </r>
        <r>
          <rPr>
            <sz val="8"/>
            <color indexed="81"/>
            <rFont val="Tahoma"/>
            <charset val="1"/>
          </rPr>
          <t>orig report had transposed street number. 7-31 per David Jones, will correct database.</t>
        </r>
        <r>
          <rPr>
            <sz val="8"/>
            <color indexed="81"/>
            <rFont val="Tahoma"/>
            <charset val="1"/>
          </rPr>
          <t xml:space="preserve">
3276 Blanding Blvd,
Jacksonville, FL 32210</t>
        </r>
      </text>
    </comment>
    <comment ref="AF926" authorId="0">
      <text>
        <r>
          <rPr>
            <b/>
            <sz val="8"/>
            <color indexed="81"/>
            <rFont val="Tahoma"/>
            <charset val="1"/>
          </rPr>
          <t>Dora Paratore:</t>
        </r>
        <r>
          <rPr>
            <sz val="8"/>
            <color indexed="81"/>
            <rFont val="Tahoma"/>
            <charset val="1"/>
          </rPr>
          <t xml:space="preserve">
7/29/13 per AA estimate contents value based on occupancy of bldg.</t>
        </r>
      </text>
    </comment>
  </commentList>
</comments>
</file>

<file path=xl/sharedStrings.xml><?xml version="1.0" encoding="utf-8"?>
<sst xmlns="http://schemas.openxmlformats.org/spreadsheetml/2006/main" count="47670" uniqueCount="5032">
  <si>
    <t>Roof Sheathing Attachment (Roof sheathing is one of the main components of a building. It helps keep the integrity of the building and is a major line of defense against losses to building and contents due to both wind and rain. The strength of sheathing depends on the way it is attached to the roof rafters. Loss of roof sheathing often happens due to improper nailing design and schedule.)</t>
  </si>
  <si>
    <t>Foundation system (Loads on a building are transferred through its connections to the foundation. Improperly constructed foundations may lead to catastrophic failure of buildings in windstorms.)</t>
  </si>
  <si>
    <t>Architecture Elements (The presence of many architectural elements, such as tall parapets, overhangs, and carports are vulnerable and may cause increased wind damage to the structure.)</t>
  </si>
  <si>
    <t>Mechanical and Electrical Systems (Ground Level Only) (Equipment includes electrical outlets, electrical equipment, and exposed wiring.)\</t>
  </si>
  <si>
    <t>Mechanical and Electrical Equipment (Building Side Only) (Mechanical and electrical systems that are attached to external walls can receive damage from high winds.)</t>
  </si>
  <si>
    <t>Wind Resistance - Doors (Doors with poor wind resistance can expose interior building components and contents to more wind and water hazards than doors with good wind resistance.)</t>
  </si>
  <si>
    <t>designed for wind pressure impact resistant</t>
  </si>
  <si>
    <t>designed for wind pressure only</t>
  </si>
  <si>
    <t>no door (tornado only)</t>
  </si>
  <si>
    <t>Wind Resistance - Windows (Windows with poor wind resistance can expose interior building components and contents to more wind and water hazards than windows with good wind resistance.)</t>
  </si>
  <si>
    <t>Wind-Driven Missile Exposure (Buildings may receive damage from airborne missiles, gravel, or from trees within falling distance.)</t>
  </si>
  <si>
    <t>None</t>
  </si>
  <si>
    <t>Content vulnerability due to wind (Some types of contents, like electronic equipment, documents, etc., are relatively more vulnerable to both wind and water than others like heavy equipment, etc.)</t>
  </si>
  <si>
    <t>Contents vulnerability to water (Some types of contents, like electronic equipment, documents, etc., are relatively more vulnerable to both wind and water than others like heavy equipment, etc. This modifier only affects the storm surge and wave vulnerability of contents.)</t>
  </si>
  <si>
    <t>Building footprints can be regular (square, rectangular, circular) or irregular (L-shaped, T-shaped, U-shaped). Irregular buildings tend to twist in addition to shaking laterally. Severe damage often occurs at the re-entrant corners between wings of an irregularly-shaped building.</t>
  </si>
  <si>
    <t xml:space="preserve">Buildings sometimes have shear walls or infill walls at the upper floors that are interrupted at the first floor to provide more open space for car parking, lobbies and retail space. The first floor in these cases acts as a “soft story” that will sustain excessive deformations and stresses in a major earthquake unless designed specifically to take the stiffness discontinuity into account. </t>
  </si>
  <si>
    <t>Significant setbacks and overhangs, if not specifically accounted for in the seismic design of a building, can create stress concentrations that will experience above-average levels of damage during an earthquake.</t>
  </si>
  <si>
    <t xml:space="preserve">Even though they have little or no structural value, cladding elements, such as an exterior wall of glass, precast concrete, or unreinforced masonry, can cause significant loss if they sustain damage. </t>
  </si>
  <si>
    <t xml:space="preserve">This modifier models situations where the columns in a reinforced concrete moment frame used to resist seismic loads are effectively shortened in height by the presence of spandrel beams or infill walls (usually masonry or precast panels) used as architectural elements. Columns that are shortened in this way often experience shear forces that are greater than what they were designed to resist, which significantly increases the risk of damage during an earthquake. </t>
  </si>
  <si>
    <t>Decorative elements such as parapet walls and cornices that are not securely attached or braced to a building can fall off during an earthquake. In addition to contributing to the amount of damage, such features also pose a life-safety threat to anyone in the vicinity of the building during the earthquake.</t>
  </si>
  <si>
    <t xml:space="preserve">A cripple wall is a short wall that extends from the top of a building’s foundation to the underside of the first floor, often acting as an outer wall of the building’s basement or crawl space. Cripple walls are found almost exclusively in wood frame residential construction. These walls, unless they are sufficiently braced to transmit the seismic loads from the structure to its foundation, have no shear resistance and, consequently, perform poorly in earthquakes; the resulting damage to the building may be total. Post-1948 construction in California prohibits the use of cripple walls. </t>
  </si>
  <si>
    <t xml:space="preserve">A common cause of earthquake damage in buildings is the lack of a “positive” connection between the structure and its foundation. If a building is not connected to its foundation with anchor bolts, then it can simply slide off its foundation during an earthquake, causing substantial damage. </t>
  </si>
  <si>
    <t xml:space="preserve">The performance of tilt-up buildings in past earthquakes has revealed that in older tilt-up structures the connections between the tilt-up walls and the roof framing system are inadequately proportioned to resist the loads caused by earthquake shaking. The installation of special anchors that connect the tilt-up walls to the purlins in the roof framing system reduces the likelihood that tilt-up buildings will be damaged in this manner. This modifier is also commonly called “tilt-up retrofit.” </t>
  </si>
  <si>
    <t xml:space="preserve">This modifier applies to any building that has been retrofitted in some way to provide superior earthquake performance relative to other buildings of similar construction, occupancy, height, and vintage. In general, this modifier is used to model a structure that has been upgraded to conform to a more modern or stringent building code than that in use when the building was originally designed and constructed. If a year has been assigned to the “Year Upgraded” field, then this modifier should be specified only if additional structural upgrades have been made since that year. </t>
  </si>
  <si>
    <t xml:space="preserve">This modifier models the superior performance of buildings that have foundations that are explicitly designed to withstand the soil deformations anticipated for landslides or liquefaction. </t>
  </si>
  <si>
    <t xml:space="preserve">Note that this modifier is not implemented in the same way as the other secondary modifiers in the U.S. Earthquake Model. </t>
  </si>
  <si>
    <t xml:space="preserve">For all buildings eight stories or taller and constructed after 1979, RiskLink assumes an engineered foundation is present. Consequently, for such buildings, selecting the Yes option will have no impact on the loss estimate. </t>
  </si>
  <si>
    <t xml:space="preserve">Damage to mechanical and electrical equipment can be reduced by properly anchoring the equipment to the floor or roof and/or bracing it against vertical structural elements. </t>
  </si>
  <si>
    <t>Poor construction quality is characterized by sloppy workmanship and/or the use of low-quality construction materials. Even if a building is designed to be sufficiently earthquake resistant, poor construction practices can lead to excessive damage if critical structural elements are not constructed or installed correctly.</t>
  </si>
  <si>
    <t>Buildings that show signs of distress, such as cracking due to aging or ground settlement, fatigue, and overloading or cracking due to damage from previous earthquakes, are likely to experience an above average amount of damage during an earthquake.</t>
  </si>
  <si>
    <t>Pounding occurs when there is little or no clearance between adjacent buildings, allowing the buildings to impact or “pound” against each other as they sway during an earthquake. The damage caused by pounding can be particularly severe when the floor levels in the buildings are not at the same elevation.</t>
  </si>
  <si>
    <t>Base isolation attempts to reduce the amount of damage sustained by a building during an earthquake by preventing the energy of the earthquake from entering the structure. The isolating elements, which are located in the building’s foundation, are often constructed of layers of lead and rubber that are capable of withstanding large deformations so that only a small fraction of the earthquake ground motions are transmitted into the superstructure. Base isolation is most effective for low-rise construction and is often prohibitively expensive for all but critical facilities and historic buildings.</t>
  </si>
  <si>
    <t>The Earthquake Sprinkler Leakage (EQSL) Model assumes a sprinkler system that is 70% wet pipe and 30% dry pipe system. Applying this secondary modifier for a location where it is known that the sprinkler system is either wet or dry refines the loss estimate associated with sprinkler leakage..</t>
  </si>
  <si>
    <t xml:space="preserve">Some types of contents, interior partitions and fixtures are more susceptible to water damage than others. This modifier should only be used in site-specific situations where the building and its contents clearly has a higher or lower than average susceptibility to water damage for the type of occupancy being modeled. </t>
  </si>
  <si>
    <t>Earthquake Secondary Modifiers</t>
  </si>
  <si>
    <t>·          0 = Unknown</t>
  </si>
  <si>
    <t>·          1 = Regular - Select this option when the building footprint does not have any re-entrant corners.</t>
  </si>
  <si>
    <t>·          2 = Irregular - Select this option for building footprints that have re-entrant corners.</t>
  </si>
  <si>
    <t>·          1 = No - Select this option when any shear walls present in the building are not interrupted at the ground floor.</t>
  </si>
  <si>
    <t>·          2 = Yes - Select this option when shear walls that do not pass through the ground floor are present and the resulting stiffness discontinuity has not been taken into account in the design of the building.</t>
  </si>
  <si>
    <t>·          1 = No - Select this option when the building is “regular” in elevation without any significant setbacks or overhangs.</t>
  </si>
  <si>
    <t>·          2 = Yes - Select this option when the building has a significant setback or overhang, such as those shown in the following figure, which has not been specifically accounted for in its seismic design.</t>
  </si>
  <si>
    <t>·          3 = Unreinforced Masonry - Unreinforced masonry has proven to be extremely vulnerable in earthquakes. Select this option when there is a significant amount of unreinforced masonry cladding on a building.</t>
  </si>
  <si>
    <t>·          1 = No - Select this option when there are no spandrel beams or infill walls that effectively reduce the height of the columns in a reinforced concrete moment frame.</t>
  </si>
  <si>
    <t>·          2 = Yes - Select this option when spandrel beams or infill walls are present in a reinforced concrete moment frame and are installed in such a way that they effectively reduce the height of the columns</t>
  </si>
  <si>
    <t>·          1 = No - Select this option when unreinforced masonry walls, partitions, and chimneys are not present.</t>
  </si>
  <si>
    <t>·          2 = Yes - Select this option when unreinforced masonry walls, partitions, or chimneys are present and are not retrofitted to withstand earthquake-induced shaking.</t>
  </si>
  <si>
    <t>·          1 = Little or None - Select this option when the amount of decorative elements attached to a building’s exterior is negligible.</t>
  </si>
  <si>
    <t>·          2 = Average - Select this option when the building has an average amount of ornamentation for its occupancy type, construction class, height, and year of construction.</t>
  </si>
  <si>
    <t>·          3 = Extensive - Select this option when the building has an excessive amount of ornamentation for its occupancy type, construction class, height, and year of construction or when the ornamentation is not securely attached to the building to prevent damage during an earthquake.</t>
  </si>
  <si>
    <t>·          1 = No Cripple Walls</t>
  </si>
  <si>
    <t>·          2 = Braced Cripple Walls - Select this option when the building has cripple walls that have been braced so that they can transmit the inertial loads caused by the ground shaking from the structure above to the foundation below. As indicated in this figure, bracing is often provided by attaching plywood panels to the interior face of the cripple wall studs and installing anchor bolts between the sill plate of the cripple wall and the foundation.</t>
  </si>
  <si>
    <t>·          3 = Unbraced Cripple Walls - Select this option when the building has cripple walls that have not been braced or otherwise retrofitted to carry seismic loads from the structure to the foundation.</t>
  </si>
  <si>
    <t>·          1 = Bolted - Select this option when anchor bolts of a sufficient number and size connect a building to its foundation. The bolt diameter is typically ½″ to ¾″.</t>
  </si>
  <si>
    <t>·          2 = Unbolted - Select this option when anchor bolts between a building and its foundation are not present or the number and/or size of the anchor bolts are insufficient to transfer the expected lateral loads during an earthquake.</t>
  </si>
  <si>
    <t>·          1 = Properly Anchored - Select this option when purlin-wall anchors of sufficient size and number are installed</t>
  </si>
  <si>
    <t>·          2 = Not Properly Anchored - Select this option when the roof framing system is not adequately connected to the tilt-up walls.</t>
  </si>
  <si>
    <t>·          1 = Yes - Select this option when an engineered seismic retrofit is installed to prevent excessive damage to the load-bearing unreinforced masonry walls in a building.</t>
  </si>
  <si>
    <t>·          2 = No - Select this option when an unreinforced masonry building is not retrofitted to reduce the likelihood of a catastrophic collapse during an earthquake.</t>
  </si>
  <si>
    <t>·          1 = Yes - Select this option when the building has not been upgraded in any way since its original construction.</t>
  </si>
  <si>
    <t>·          2 = No - Select this option when the building has been upgraded to conform to a more modern or stringent building code than that in effect at the time of the building’s original construction.</t>
  </si>
  <si>
    <t>·          1 = Yes - Select this option when a building’s foundation is designed to withstand the extreme soil deformations anticipated for landslides or liquefaction.</t>
  </si>
  <si>
    <t>·          2 = No - Select this option when no special consideration (beyond the minimum requirements of the building code) was given to the effects of landslides or liquefaction during the design and/or construction of a building’s foundation.</t>
  </si>
  <si>
    <t>·          1 = Generally Well Braced - Select this option when all mechanical and electrical equipment is securely attached to the building with fasteners of sufficient size and number to prevent the equipment from sliding or tipping during an earthquake.</t>
  </si>
  <si>
    <t>·          2 = Somewhat Braced - Select this option when the major mechanical and electrical equipment is securely attached to the structure but there are some minor pieces of equipment that are likely to slide or tip during an earthquake.</t>
  </si>
  <si>
    <t>·          3 = Generally Unbraced - Select this option when the mechanical and electrical equipment does not appear to be securely attached to the building and is therefore likely to slide or tip during an earthquake.</t>
  </si>
  <si>
    <t>·          1 = Good - Select this option when the construction is of exceptionally high quality with no evidence of poor workmanship and/or the use of low-quality construction materials.</t>
  </si>
  <si>
    <t>·          2 = Average - Select this option when the construction quality conforms to the general standards of practice for the occupancy, construction class, height, and vintage of the building with only minor signs of poor workmanship and/or the use of low-quality construction materials.</t>
  </si>
  <si>
    <t>·          3 = Poor - Select this option when the construction quality is poor with obvious signs of sloppy workmanship and/or the use of low-quality construction materials.</t>
  </si>
  <si>
    <t>·          1 = No Signs / Good maintenance - Select this option when there are no signs of distress or duress in the building that could exacerbate any earthquake damage.</t>
  </si>
  <si>
    <t>·          2 = Few Signs / Average Maintenance - Select this option when there are only minor signs of distress or duress, which are primarily due to aging, evident in the building.</t>
  </si>
  <si>
    <t>·          3 = Obvious Signs / Poor Maintenance - Select this option when there are obvious signs of distress or duress in the building due to previous earthquake damage and/or the lack of routine maintenance.</t>
  </si>
  <si>
    <t>·          1 = No - Select this option if the building is not protected by a base isolation system.</t>
  </si>
  <si>
    <t>·          2 = Yes - Select this option when the building is protected by a base isolation system.</t>
  </si>
  <si>
    <t>·          0 = None</t>
  </si>
  <si>
    <t>·          1 = Wet - Select this option when more than 70% of the pipes in the sprinkler system are wet.</t>
  </si>
  <si>
    <t>·          2 = Dry - Select this option when less than 70% of the pipes in the sprinkler system are wet.</t>
  </si>
  <si>
    <t>·          1 = Low - Select this option when the building and its contents have a lower than average susceptibility to water damage for the type of occupancy being modeled.</t>
  </si>
  <si>
    <t>·          2 = High - Select this option when the building and its contents have a higher than average susceptibility to water damage for the type of occupancy being modeled.</t>
  </si>
  <si>
    <t>Code and Description</t>
  </si>
  <si>
    <t>SHAPECONF</t>
  </si>
  <si>
    <t>STORYPROF</t>
  </si>
  <si>
    <t>OVERPROF</t>
  </si>
  <si>
    <t>CLADDING</t>
  </si>
  <si>
    <t>SHORTCOL</t>
  </si>
  <si>
    <t>MASINTPART</t>
  </si>
  <si>
    <t>WALLSBRACD</t>
  </si>
  <si>
    <t>FRAMEBOLT</t>
  </si>
  <si>
    <t>TILTUPRET</t>
  </si>
  <si>
    <t>URMPROV</t>
  </si>
  <si>
    <t>STRUCTUP</t>
  </si>
  <si>
    <t>ENGFOUND</t>
  </si>
  <si>
    <t>MECHELEC</t>
  </si>
  <si>
    <t>CONQUAL</t>
  </si>
  <si>
    <t>DURESS</t>
  </si>
  <si>
    <t>POUNDING</t>
  </si>
  <si>
    <t>BASEISOL</t>
  </si>
  <si>
    <t>EQSLSUSCEPTIBILITY</t>
  </si>
  <si>
    <t>ORNAMENT</t>
  </si>
  <si>
    <t xml:space="preserve">    Policy Number (Required, Unique)</t>
  </si>
  <si>
    <t xml:space="preserve">    Inception Date (Required)</t>
  </si>
  <si>
    <t xml:space="preserve">    Expiration date (Required)</t>
  </si>
  <si>
    <t xml:space="preserve">    Blanket Limit (Required, set 0 for an unlimited policy)</t>
  </si>
  <si>
    <t xml:space="preserve">    Policy Status (Working, Booked, etc)</t>
  </si>
  <si>
    <t xml:space="preserve">          Scheme is FIRE, RMS, ATC or ISO, look up Code using RMS Documentation</t>
  </si>
  <si>
    <t>**Number formatting is crucial! Use "Paste as Values" when pasting location value, or reformat the columns to "General" before creating txt files.</t>
  </si>
  <si>
    <t>ATC</t>
  </si>
  <si>
    <t>RMS</t>
  </si>
  <si>
    <t>ISO</t>
  </si>
  <si>
    <t>Account Tab</t>
  </si>
  <si>
    <t>Locations tab</t>
  </si>
  <si>
    <t>Reinsurance Tab</t>
  </si>
  <si>
    <t xml:space="preserve"> </t>
  </si>
  <si>
    <t>An Account is a collection of locations and their associated Policies</t>
  </si>
  <si>
    <t xml:space="preserve">    Policy Type </t>
  </si>
  <si>
    <t>All location information is input on this tab. This includes:</t>
  </si>
  <si>
    <t xml:space="preserve">  </t>
  </si>
  <si>
    <t xml:space="preserve">          Scheme is ATC or ISO, look up Code using RMS documentation</t>
  </si>
  <si>
    <t xml:space="preserve">          Remember to input as MM/DD/YYYY. Do not change cell formatting</t>
  </si>
  <si>
    <t xml:space="preserve">    -Address Information</t>
  </si>
  <si>
    <t xml:space="preserve">    -Location building characteristics</t>
  </si>
  <si>
    <t xml:space="preserve">    -Values</t>
  </si>
  <si>
    <t xml:space="preserve"> -Account Number (MUST match an Account Number found on the Account tab!)</t>
  </si>
  <si>
    <t xml:space="preserve"> -Country Scheme and Code</t>
  </si>
  <si>
    <t xml:space="preserve"> -Number of Stories</t>
  </si>
  <si>
    <t xml:space="preserve"> -Occupancy Scheme and Code</t>
  </si>
  <si>
    <t xml:space="preserve"> -Construction Scheme and Code</t>
  </si>
  <si>
    <t xml:space="preserve"> -Year Built</t>
  </si>
  <si>
    <t xml:space="preserve"> -Appropriate Building, Contents, BI values</t>
  </si>
  <si>
    <t>This import template has the ability to characterize location Facultative and Policy Treaties.</t>
  </si>
  <si>
    <t>1) Open RiskLink and ensure Data Explorer window is open (if not, click Data Explorer icon on the toolbar)</t>
  </si>
  <si>
    <t xml:space="preserve">3) Click the Import icon on the toolbar. </t>
  </si>
  <si>
    <t>4) Select Multiple Relational Import, and click Run.</t>
  </si>
  <si>
    <t>5) In the Multiple Relational Import window, click "New". The Mapper window will appear.</t>
  </si>
  <si>
    <t xml:space="preserve">6) Select the Open File icon next to "Accounts source" at the top of the window. </t>
  </si>
  <si>
    <t>7) Navigate to and open the Account text file that you've created using this workbook.</t>
  </si>
  <si>
    <t>8) Click the Automap icon at the bottom of the Mapper window. The "Destination" row above should then be populated.</t>
  </si>
  <si>
    <t>9) Repeat steps 6-8 for Location and Reinsurance (if applicable).</t>
  </si>
  <si>
    <t>Running a Post-Import Summary Report</t>
  </si>
  <si>
    <t>1) Right-click on the portfolio or account of interest and select Add to Reports Builder. Report Builder window should appear.</t>
  </si>
  <si>
    <t>2) Find "Post Import Summary" report under the Detailed Exposure Reports node in the top window.</t>
  </si>
  <si>
    <t xml:space="preserve">3) Drag-and-Drop the Post Import Summary into your Portfolio below. </t>
  </si>
  <si>
    <t>4) Alternatively, highlight your portfolio below, and then right-click the Post Import Summary and select "Add to Reports Builder"</t>
  </si>
  <si>
    <t>5) Right-Click on the Post Import Summary now attached to your Portfolio and select "Edit".</t>
  </si>
  <si>
    <t>6) Change output options as needed. NOTE - - each report can only show results for one peril. Change peril on this screen.</t>
  </si>
  <si>
    <t>7) To view report, right-click on the Post Import Summary now attached to your Portfolio and select "Preview"</t>
  </si>
  <si>
    <t>Running An Analysis</t>
  </si>
  <si>
    <t>1) **Portfolio must be Geocoded before model can be run (see Risklink Import Instructions).</t>
  </si>
  <si>
    <t>3) Within the EDM, right-click the portfolio or account you would like to model and select "Add to Analysis Builder"</t>
  </si>
  <si>
    <t>4) In the DLM Profiles node of the Data Explorer, select the Peril and Region you would like to model. Right-click and select "Add to Analysis Builder".</t>
  </si>
  <si>
    <t>5) In the small window below the Data Explorer, ensure your portfolio should be listed under the Analysis Builder.</t>
  </si>
  <si>
    <t>6) Right-click and select "Run"</t>
  </si>
  <si>
    <t>Viewing Results</t>
  </si>
  <si>
    <t>2) EP Results window should appear. Change the Financial Perspective drop-down at the top accordingly.</t>
  </si>
  <si>
    <t>1) In Risklink, within the RDM, find the analyses results of interest. Right-click and select "View Results".</t>
  </si>
  <si>
    <t>Importing your files into RiskLink</t>
  </si>
  <si>
    <t>Grouping Analyses</t>
  </si>
  <si>
    <t>1) In the RDM, right-click on any analysis and select "Create Group"</t>
  </si>
  <si>
    <t>2) In the Attributes window that appears, supply a Name for the Grouped analysis. The other fields are optional. Select Next.</t>
  </si>
  <si>
    <t>4). Select appropriate Currency and click OK.</t>
  </si>
  <si>
    <t>3) In the Analyais Filter window, click the checkbox next to the baseline portfolio analysis, and the analysis just run on the new portfolio. Click Finish.</t>
  </si>
  <si>
    <t>5) Once complete, the grouped portfolio will appear in the RDM with the name provided in step 2. To View results, see instructions below.</t>
  </si>
  <si>
    <t>atc</t>
  </si>
  <si>
    <t>Atc</t>
  </si>
  <si>
    <t>iso</t>
  </si>
  <si>
    <t>Iso</t>
  </si>
  <si>
    <t>Rms</t>
  </si>
  <si>
    <t>occscheme Data validation</t>
  </si>
  <si>
    <t>occtype data validation</t>
  </si>
  <si>
    <t>construction scheme data validation</t>
  </si>
  <si>
    <t>construction type data validation</t>
  </si>
  <si>
    <t>rMs</t>
  </si>
  <si>
    <t>rmS</t>
  </si>
  <si>
    <t>RmS</t>
  </si>
  <si>
    <t>rMS</t>
  </si>
  <si>
    <t>rms</t>
  </si>
  <si>
    <t>iSo</t>
  </si>
  <si>
    <t>isO</t>
  </si>
  <si>
    <t>IsO</t>
  </si>
  <si>
    <t>iSO</t>
  </si>
  <si>
    <t>aTc</t>
  </si>
  <si>
    <t>atC</t>
  </si>
  <si>
    <t>AtC</t>
  </si>
  <si>
    <t>aTC</t>
  </si>
  <si>
    <t>Filling out this sheet is only required if you wish to apply Fac or Treaty reinsurance to this schedule.</t>
  </si>
  <si>
    <t xml:space="preserve">    Underwriter Name</t>
  </si>
  <si>
    <t xml:space="preserve">    Branch</t>
  </si>
  <si>
    <t>Policy/Location Number: MUST Match either a Policy Number on the Account tab or a Location Number on the Location tab!</t>
  </si>
  <si>
    <t>2) In the Data Explorer window, select the Exposure Database (EDM) by highlighting the text or opening its node (+)</t>
  </si>
  <si>
    <t>2) In the Data Explorer window, select the Result Database (RDM) to place the modeled results by clicking its node (+)</t>
  </si>
  <si>
    <t>10) Next to "Portfolio:", click the Portfolio icon with the blue star to create and name a new Portfolio into which your data will go.</t>
  </si>
  <si>
    <t>12) Click the Validation Options icon, and check all checkboxes within. Click OK.</t>
  </si>
  <si>
    <t>13) Click the Validate icon. This ensures that there are no errors with the information you've provided in the files.</t>
  </si>
  <si>
    <t>14) Click the OK icon in the Mapper window. You will be prompted to save a Mapping file. Click Save.</t>
  </si>
  <si>
    <t>15) You'll be returned ot the Multiple Relational Import window, which has your import scheduled. Click the Import icon.</t>
  </si>
  <si>
    <t>11) Check the checkbox next to "Geocode and retrieve local conditions". This will cause the locations to be geocoded during the import process.</t>
  </si>
  <si>
    <t>**This version of the Import template was built for Excel 2003 and earlier versions and supports up to 65530 rows of data.</t>
  </si>
  <si>
    <t>Policy/Location: Place POL for a policy-level treaty, place LOC for a facultative location-level cession.</t>
  </si>
  <si>
    <t>Reinsurance Layer Number: Used for informational purposes only. Number between 1-127.</t>
  </si>
  <si>
    <t>If the reinsurance tab is to be used, ALL fields are required unless stated otherwise below.</t>
  </si>
  <si>
    <t>Attachment Point: point of loss at which cession begins to pay out</t>
  </si>
  <si>
    <t>Reinsurer/Treaty ID: Assigns a name to the Treaty in order for user to identify it later.</t>
  </si>
  <si>
    <t>Priority: Set the Inuring priority in the case of multiple cessions. 1 has first priority, 2 has second, etc. Values up to 127. Optional.</t>
  </si>
  <si>
    <t>% Ceded to Reinsurer: input a value between 1 and 100 that represents the % of the loss ceded to this policy. Do not import decimals!</t>
  </si>
  <si>
    <t>Facultative Reinsurer Name: Place a name to assign to the FAC Reinsurer. not necessary for Surplus Share Treaties.</t>
  </si>
  <si>
    <t>Reinsurer Type: For Location-level or policy level FAC, place "F". If Policy-Level treaty, place "T"</t>
  </si>
  <si>
    <t>Highly Suggested Fields:</t>
  </si>
  <si>
    <t xml:space="preserve">    Account Number (Required, Unique)</t>
  </si>
  <si>
    <t xml:space="preserve">    Account Name (Required)</t>
  </si>
  <si>
    <t>Roof System Covering</t>
  </si>
  <si>
    <t>Roof Age</t>
  </si>
  <si>
    <t>Roof Framing Type</t>
  </si>
  <si>
    <t>Roof Maintenance</t>
  </si>
  <si>
    <t>Basement</t>
  </si>
  <si>
    <t>CONSTQUALI</t>
  </si>
  <si>
    <t>ROOFSYS</t>
  </si>
  <si>
    <t>ROOFGEOM</t>
  </si>
  <si>
    <t>ROOFANCH</t>
  </si>
  <si>
    <t>ROOFAGE</t>
  </si>
  <si>
    <t>ROOFFRAME</t>
  </si>
  <si>
    <t>ROOFMAINT</t>
  </si>
  <si>
    <t>ROOFPARAPT</t>
  </si>
  <si>
    <t>ROOFEQUIP</t>
  </si>
  <si>
    <t>BASEMENT</t>
  </si>
  <si>
    <t>EXTORN</t>
  </si>
  <si>
    <t>CLADSYS</t>
  </si>
  <si>
    <t>CLADRATE</t>
  </si>
  <si>
    <t>FOUNDSYS</t>
  </si>
  <si>
    <t>ARCHITECT</t>
  </si>
  <si>
    <t>MECHGROUND</t>
  </si>
  <si>
    <t>MECHSIDE</t>
  </si>
  <si>
    <t>RESISTDOOR</t>
  </si>
  <si>
    <t>RESISTOPEN</t>
  </si>
  <si>
    <t>WINDMISSL</t>
  </si>
  <si>
    <t>VULNWIND</t>
  </si>
  <si>
    <t>VULNFLOOD</t>
  </si>
  <si>
    <t>Windstorm Secondary Modifiers</t>
  </si>
  <si>
    <t>Name</t>
  </si>
  <si>
    <t>Description</t>
  </si>
  <si>
    <t>Code</t>
  </si>
  <si>
    <t>Code Description</t>
  </si>
  <si>
    <t>Unknown</t>
  </si>
  <si>
    <t>Construction Quality and Maintenance (Certified design indicates that the building was designed by a certified professional engineer and inspected by a certified building inspector. Certificate of occupancy indicates that a building permit was issued and a building inspector visited the construction to certify the building.)</t>
  </si>
  <si>
    <t>Roof Geometry (Roof geometry directly impacts the type of wind forces a roof is likely to experience. Flat roofs are more likely to experience more loading than hipped or high-pitched roofs.)</t>
  </si>
  <si>
    <t>Roof Anchor (The failure or absence of anchors may result in the roof being blown off and the walls falling apart.)</t>
  </si>
  <si>
    <t>Zero to Five years</t>
  </si>
  <si>
    <t>Five to Ten years</t>
  </si>
  <si>
    <t>ten years or more</t>
  </si>
  <si>
    <t>Building maintenance enforced</t>
  </si>
  <si>
    <t>no building maintenance</t>
  </si>
  <si>
    <t>Roof Parapets (Parapets are short walls constructed at the edge of the roof. Parapets that are 3 feet or taller reduce the wind pressures on the roof’s surface.)</t>
  </si>
  <si>
    <t>unknown</t>
  </si>
  <si>
    <t>Presence of parapets (&gt;3 feet)</t>
  </si>
  <si>
    <t>no parapets (or parapets &lt; 3 feet)</t>
  </si>
  <si>
    <t>Mechanical and Electrical systems (Roof only) (If there are large areas of roof covered with equipment, the building can be more vulnerable to wind because the equipment anchorage can compromise the roof’s integrity.)</t>
  </si>
  <si>
    <t>No basement</t>
  </si>
  <si>
    <t>External Ornamentation (Ornamentation includes all elements that can shake loose from either the roof or structural elements of the building.)</t>
  </si>
  <si>
    <t>brick veneer</t>
  </si>
  <si>
    <t>metal sheathing</t>
  </si>
  <si>
    <t>Recommended Fields:</t>
  </si>
  <si>
    <t xml:space="preserve">    NOTE: It is not necessary to have values for every peril and coverage. Only fill out the values for the perils covered, leave the rest blank.</t>
  </si>
  <si>
    <t xml:space="preserve"> -Street Name/Number (if location is in US or another street-level country)</t>
  </si>
  <si>
    <t>10b) Alternatively, you can place the new account into an existing portfolio by clicking the folder icon next to "Portfolio" and choose from the list</t>
  </si>
  <si>
    <t>6) Click "File Options" and ensure that Delimiter = Tab, Skip first lines = 4, and ensure that checkbox for "First row has column name" is checked.</t>
  </si>
  <si>
    <t>*Note that only Portfolio analyses can be grouped. Account analyses are not able to be grouped.</t>
  </si>
  <si>
    <t xml:space="preserve">      the appropriate field name for each field can be found by using the Mapper field look-up in the Multiple-Relational Import window.</t>
  </si>
  <si>
    <t xml:space="preserve">          Scheme is always ISO2A. Codes are US, CO for Colombia, CL for Chile, PR for Puerto Rico</t>
  </si>
  <si>
    <t xml:space="preserve"> -City, State, Postalcode</t>
  </si>
  <si>
    <t>*If a field needs to be added: insert a column and enter the field name in the 1st and 4th row (similar to the existing columns)</t>
  </si>
  <si>
    <t xml:space="preserve">      Open the Multi-Relational Import, click "New", click the Locations button in the middle of the window, and click "Map…"</t>
  </si>
  <si>
    <t>Obvious Signs of Duress or Distress</t>
  </si>
  <si>
    <t>Certified Design &amp; Construction</t>
  </si>
  <si>
    <t>Metal Sheathing with Exposed Fasteners</t>
  </si>
  <si>
    <t>Metal Sheathing with Concealed Fasteners</t>
  </si>
  <si>
    <t>Built Up Roof or Single Ply … without presence of gutters</t>
  </si>
  <si>
    <t>Built Up Roof or Single ply membrane roof with presence of gutters</t>
  </si>
  <si>
    <t>Concrete / clay tiles</t>
  </si>
  <si>
    <t>Wood shakes</t>
  </si>
  <si>
    <t>Normal shingle (55 mph)</t>
  </si>
  <si>
    <t>Shingle rated for High Wind Speeds (110 mph)</t>
  </si>
  <si>
    <t>Shingle rated for High Wind Speeds (110 mph) with SWR</t>
  </si>
  <si>
    <t>Normal shingle (55 mph) with Secondary Water Resistance (SWR)</t>
  </si>
  <si>
    <t>Flat roof with parapets</t>
  </si>
  <si>
    <t>Flat roof without parapets</t>
  </si>
  <si>
    <t>Hip roof with slope less than or equal to 26.5 degrees</t>
  </si>
  <si>
    <t>Hip roof with slope greater than 26.5 degrees</t>
  </si>
  <si>
    <t>Gable roof with slope less than or equal to 26.5 degrees</t>
  </si>
  <si>
    <t>Gable roof with slope greater than 26.5 degrees</t>
  </si>
  <si>
    <t>Braced gable roof with slope less than or equal to 26.5 degrees</t>
  </si>
  <si>
    <t>Braced gable roof with slope greater than 26.5 degrees</t>
  </si>
  <si>
    <t>Toe nailing / No anchorage</t>
  </si>
  <si>
    <t>Clips</t>
  </si>
  <si>
    <t>Single Wraps</t>
  </si>
  <si>
    <t>Double Wraps</t>
  </si>
  <si>
    <t>Structural</t>
  </si>
  <si>
    <t>Obvious signs of deterioration and distress</t>
  </si>
  <si>
    <t>Poured / Cast-in-place concrete</t>
  </si>
  <si>
    <t>Precast Concrete</t>
  </si>
  <si>
    <t>Heavy steel frames</t>
  </si>
  <si>
    <t>Light gauge steel purlins</t>
  </si>
  <si>
    <t>Wood Purlins</t>
  </si>
  <si>
    <t>Properly installed with adequate anchorage</t>
  </si>
  <si>
    <t>Basement with flood protection</t>
  </si>
  <si>
    <t>Basement without flood protection</t>
  </si>
  <si>
    <t>Basement with unknown flood protection</t>
  </si>
  <si>
    <t>Large signs</t>
  </si>
  <si>
    <t>Extensive ornamentation</t>
  </si>
  <si>
    <t>Wood</t>
  </si>
  <si>
    <t>EIFS / Stucco</t>
  </si>
  <si>
    <t>Impact rated glazing</t>
  </si>
  <si>
    <t>Vinyl siding</t>
  </si>
  <si>
    <t>Batten decking / Skipped sheathing</t>
  </si>
  <si>
    <t>6d Nails - Any nail schedule</t>
  </si>
  <si>
    <t>8d Nails Minimum nail schedule</t>
  </si>
  <si>
    <t>8d Nails - High wind nail schedule</t>
  </si>
  <si>
    <t>10d Nails - High wind nail schedule</t>
  </si>
  <si>
    <t>Dimensional lumber / Tongue &amp; groove decking with a minimum of 2 nails per board</t>
  </si>
  <si>
    <t>Bolted</t>
  </si>
  <si>
    <t>Unbolted</t>
  </si>
  <si>
    <t>Fences / Carport</t>
  </si>
  <si>
    <t>Screen Enclosure / Lanai (more than 15% of Bldg. value)</t>
  </si>
  <si>
    <t>Screen Enclosure / Lanai (less than 15% of Bldg value)</t>
  </si>
  <si>
    <t>Generally Unprotected (systems not elevated or do not have covering)</t>
  </si>
  <si>
    <t>Generally Protected (systems located 5ft above ground and/or have waterproof coverings)</t>
  </si>
  <si>
    <t>Generally Non Braced (No braces or straps secure the systems)</t>
  </si>
  <si>
    <t>Generally Braced (metal braces or straps have been used to fasten the systems to walls)</t>
  </si>
  <si>
    <t>Not designed for wind protection (flexible doors, thin doors, doors poorly attached to frame)</t>
  </si>
  <si>
    <t>All openings designed for Large Missiles</t>
  </si>
  <si>
    <t>All opening designed for medium missiles</t>
  </si>
  <si>
    <t>All openings designed for small missiles</t>
  </si>
  <si>
    <t>All glazed openings designed for large missiles</t>
  </si>
  <si>
    <t>All glazed openings designed for medium missiles</t>
  </si>
  <si>
    <t>All glazed openings designed for small missiles</t>
  </si>
  <si>
    <t>All glazed openings covered with plywood / oriented strand board (OSB)</t>
  </si>
  <si>
    <t>No glazed exterior openings have wind-borne debris protection</t>
  </si>
  <si>
    <t>At least one glazed exterior opening does not have wind-borne debris protection</t>
  </si>
  <si>
    <t>Gravel ballast present</t>
  </si>
  <si>
    <t>Potential severe missile exposure (trees within striking distance of structure)</t>
  </si>
  <si>
    <t>Isolated large trees</t>
  </si>
  <si>
    <t>Slightly damageable (stone, tires, highly protected contents)</t>
  </si>
  <si>
    <t>Damageable (general office furniture)</t>
  </si>
  <si>
    <t>Moderately damageable (computers)</t>
  </si>
  <si>
    <t>·          1 = Glass</t>
  </si>
  <si>
    <t>·          1 = No - Building is 3' or further away for each story</t>
  </si>
  <si>
    <t>·          2 = Yes - The adjacent building is less than 3' from your building for each story in the building</t>
  </si>
  <si>
    <t>SPNKLRTYPE</t>
  </si>
  <si>
    <t>FLASHING</t>
  </si>
  <si>
    <t>Indicates the quality of the flashing and coping installed at the roof. Flashing refers to thin continuous pieces of sheet metal or other water-impervious material that are installed to prevent the passage of water into a structure at location where there is an abrupt change in the roof geometry. For example, it is placed around the base of discontinuities or objects that protrude from the roof a building, such as mechanical openings and parapets, to deflect water away from the construction joints at these locations.</t>
  </si>
  <si>
    <t>Flashing quality complies with the wind design standard for edge system (ANS/SPRI ES-1)</t>
  </si>
  <si>
    <t>Does not comply with ES-1</t>
  </si>
  <si>
    <t>Obvious signs of deficiencies in the installation</t>
  </si>
  <si>
    <t>Even though they have little or no structural value, the cladding elements, such as an exterior wall of unreinforced masonry on a wood frame home, can cause significant loss if they sustain serious damage. Buildings may also receive damage from exposure to airborne missiles, gravel, or from trees within falling distance. If there is a combination of two or more cladding types used on the structure, select the one of dominant use.</t>
  </si>
  <si>
    <t>Glazing not designed for impact with gravel rooftop within 1000ft</t>
  </si>
  <si>
    <t>Small airborne missiles (gravel, foliage) (structure is within 100ft of missiles)</t>
  </si>
  <si>
    <t>Protective foliage</t>
  </si>
  <si>
    <t>Highly damageable (glassware, paper-based products)</t>
  </si>
  <si>
    <t>Only reinforced masonry (brick or hollow clay tile) walls or partitions are considered to have significant impact upon a building's damageability. The collapse of these partitions can contribute significantly to the overall dollar value damage to a structure. In USGS seismic zone 4 in California, they are not used in post 1934 construction. This item also includes unreinforced masonry chimneys.</t>
  </si>
  <si>
    <t xml:space="preserve">Unreinforced masonry is extremely vulnerable to earthquake ground shaking. In addition to contributing to the damage sustained by a building, the propensity of unreinforced masonry walls to collapse during an earthquake also poses a life-safety threat. Consequently, several jurisdictions in California UBC seismic zone 4 have instituted mandatory retrofit programs for unreinforced masonry buildings. This modifier applies to the performance of load-bearing unreinforced masonry walls only. To model unreinforced cladding on a building, use the Cladding modifier; to account for unreinforced masonry partitions and chimneys, use the Unreinforced Masonry Partitions or Chimneys modifier </t>
  </si>
  <si>
    <t xml:space="preserve">For all other secondary modifiers, the industry-average vulnerability function is scaled up or down to quantify the effect of the selected building characteristic on the loss estimate. In contrast, selecting the Yes option for the engineered foundation modifier causes any losses due to liquefaction or landslide to be ignored. Consequently, the impact of selecting the Yes option for this modifier depends on the severity of the liquefaction or landslide hazard at the location being analyzed. The greater the liquefaction or landslide hazard, the greater the impact of selecting Yes on the loss estimate. Selecting the No option for this modifier has no impact on the loss estimate. </t>
  </si>
  <si>
    <t>LOCNUM</t>
  </si>
  <si>
    <t>LOCNAME</t>
  </si>
  <si>
    <t>ADDRESSNUM</t>
  </si>
  <si>
    <t>STREETNAME</t>
  </si>
  <si>
    <t>CITY</t>
  </si>
  <si>
    <t>COUNTY</t>
  </si>
  <si>
    <t>STATE</t>
  </si>
  <si>
    <t>STATECODE</t>
  </si>
  <si>
    <t>CNTRYCODE</t>
  </si>
  <si>
    <t>CNTRYSCHEME</t>
  </si>
  <si>
    <t>POSTALCODE</t>
  </si>
  <si>
    <t>BLDGSCHEME</t>
  </si>
  <si>
    <t>BLDGCLASS</t>
  </si>
  <si>
    <t>OCCSCHEME</t>
  </si>
  <si>
    <t>OCCTYPE</t>
  </si>
  <si>
    <t>YEARBUILT</t>
  </si>
  <si>
    <t>YEARUPGRAD</t>
  </si>
  <si>
    <t>EQSITELCUR</t>
  </si>
  <si>
    <t>EQCV1VAL</t>
  </si>
  <si>
    <t>EQCV1DED</t>
  </si>
  <si>
    <t>EQCV2VAL</t>
  </si>
  <si>
    <t>EQCV2DED</t>
  </si>
  <si>
    <t>EQCV3VAL</t>
  </si>
  <si>
    <t>EQCV3DED</t>
  </si>
  <si>
    <t>WSSITELCUR</t>
  </si>
  <si>
    <t>WSCV1DED</t>
  </si>
  <si>
    <t>WSCV2DED</t>
  </si>
  <si>
    <t>WSCV3VAL</t>
  </si>
  <si>
    <t>WSCV3DED</t>
  </si>
  <si>
    <t>NUMBLDGS</t>
  </si>
  <si>
    <t>NUMSTORIES</t>
  </si>
  <si>
    <t>FLOORAREA</t>
  </si>
  <si>
    <t>AREAUNIT</t>
  </si>
  <si>
    <t>REDUND</t>
  </si>
  <si>
    <t>TORSION</t>
  </si>
  <si>
    <t>BLDGEXT</t>
  </si>
  <si>
    <t>TANK</t>
  </si>
  <si>
    <t>DESIGNCODE</t>
  </si>
  <si>
    <t>FLOORTYPE</t>
  </si>
  <si>
    <t>US</t>
  </si>
  <si>
    <t>ISO2A</t>
  </si>
  <si>
    <t>0 - Unknown</t>
  </si>
  <si>
    <t>USD</t>
  </si>
  <si>
    <t>·          2 = Precast Concrete</t>
  </si>
  <si>
    <t>AL</t>
  </si>
  <si>
    <t>AM</t>
  </si>
  <si>
    <t>AN</t>
  </si>
  <si>
    <t>AQ</t>
  </si>
  <si>
    <t>AS</t>
  </si>
  <si>
    <t>AT</t>
  </si>
  <si>
    <t>AV</t>
  </si>
  <si>
    <t>AW</t>
  </si>
  <si>
    <t>AX</t>
  </si>
  <si>
    <t>AY</t>
  </si>
  <si>
    <t>BA</t>
  </si>
  <si>
    <t>BB</t>
  </si>
  <si>
    <t>BC</t>
  </si>
  <si>
    <t>BD</t>
  </si>
  <si>
    <t>BE</t>
  </si>
  <si>
    <t>BG</t>
  </si>
  <si>
    <t>BI</t>
  </si>
  <si>
    <t>BJ</t>
  </si>
  <si>
    <t>BK</t>
  </si>
  <si>
    <t>BL</t>
  </si>
  <si>
    <t>BM</t>
  </si>
  <si>
    <t>BN</t>
  </si>
  <si>
    <t>BO</t>
  </si>
  <si>
    <t>BP</t>
  </si>
  <si>
    <t>BQ</t>
  </si>
  <si>
    <t>BS</t>
  </si>
  <si>
    <t>BT</t>
  </si>
  <si>
    <t>BU</t>
  </si>
  <si>
    <t>BV</t>
  </si>
  <si>
    <t>BW</t>
  </si>
  <si>
    <t>BX</t>
  </si>
  <si>
    <t>BY</t>
  </si>
  <si>
    <t>BZ</t>
  </si>
  <si>
    <t>CA</t>
  </si>
  <si>
    <t>CB</t>
  </si>
  <si>
    <t>CC</t>
  </si>
  <si>
    <t>NO TAB</t>
  </si>
  <si>
    <t>SEC.MOD .KEY</t>
  </si>
  <si>
    <t>SEC.MOD. KEY</t>
  </si>
  <si>
    <t>1 - Obvious Signs of Duress or Distress</t>
  </si>
  <si>
    <t>9 - Certified Design &amp; Construction</t>
  </si>
  <si>
    <t>1 - Metal Sheathing with Exposed Fasteners</t>
  </si>
  <si>
    <t>2 - Metal Sheathing with Concealed Fasteners</t>
  </si>
  <si>
    <t>3 - Built Up Roof or Single ply membrane roof with presence of gutters</t>
  </si>
  <si>
    <t>4 - Built Up Roof or Single Ply … without presence of gutters</t>
  </si>
  <si>
    <t>5 - Concrete / clay tiles</t>
  </si>
  <si>
    <t>6 - Wood shakes</t>
  </si>
  <si>
    <t>7 - Normal shingle (55 mph)</t>
  </si>
  <si>
    <t>8 - Normal shingle (55 mph) with Secondary Water Resistance (SWR)</t>
  </si>
  <si>
    <t>9 - Shingle rated for High Wind Speeds (110 mph)</t>
  </si>
  <si>
    <t>10 - Shingle rated for High Wind Speeds (110 mph) with SWR</t>
  </si>
  <si>
    <t>1 - Flat roof with parapets</t>
  </si>
  <si>
    <t>2 - Flat roof without parapets</t>
  </si>
  <si>
    <t>3 - Hip roof with slope less than or equal to 26.5 degrees</t>
  </si>
  <si>
    <t>4 - Hip roof with slope greater than 26.5 degrees</t>
  </si>
  <si>
    <t>5 - Gable roof with slope less than or equal to 26.5 degrees</t>
  </si>
  <si>
    <t>6 - Gable roof with slope greater than 26.5 degrees</t>
  </si>
  <si>
    <t>7 - Braced gable roof with slope less than or equal to 26.5 degrees</t>
  </si>
  <si>
    <t>8 - Braced gable roof with slope greater than 26.5 degrees</t>
  </si>
  <si>
    <t>1 - Toe nailing / No anchorage</t>
  </si>
  <si>
    <t>2 - Clips</t>
  </si>
  <si>
    <t>3 - Single Wraps</t>
  </si>
  <si>
    <t>4 - Double Wraps</t>
  </si>
  <si>
    <t>5 - Structural</t>
  </si>
  <si>
    <t>1 - Zero to Five years</t>
  </si>
  <si>
    <t>2 - Five to Ten years</t>
  </si>
  <si>
    <t>3 - ten years or more</t>
  </si>
  <si>
    <t>4 - Obvious signs of deterioration and distress</t>
  </si>
  <si>
    <t>1 - Poured / Cast-in-place concrete</t>
  </si>
  <si>
    <t>2 - Precast Concrete</t>
  </si>
  <si>
    <t>3 - Heavy steel frames</t>
  </si>
  <si>
    <t>4 - Light gauge steel purlins</t>
  </si>
  <si>
    <t>5 - Wood Purlins</t>
  </si>
  <si>
    <t>1 - Building maintenance enforced</t>
  </si>
  <si>
    <t>2 - no building maintenance</t>
  </si>
  <si>
    <t>0 - unknown</t>
  </si>
  <si>
    <t>1 - Presence of parapets (&gt;3 feet)</t>
  </si>
  <si>
    <t>2 - no parapets (or parapets &lt; 3 feet)</t>
  </si>
  <si>
    <t>1 - Properly installed with adequate anchorage</t>
  </si>
  <si>
    <t>2 - Obvious signs of deficiencies in the installation</t>
  </si>
  <si>
    <t>1 - No basement</t>
  </si>
  <si>
    <t>2 - Basement with flood protection</t>
  </si>
  <si>
    <t>3 - Basement without flood protection</t>
  </si>
  <si>
    <t>4 - Basement with unknown flood protection</t>
  </si>
  <si>
    <t>1 - Large signs</t>
  </si>
  <si>
    <t>2 - Extensive ornamentation</t>
  </si>
  <si>
    <t>1 - brick veneer</t>
  </si>
  <si>
    <t>2 - metal sheathing</t>
  </si>
  <si>
    <t>3 - Wood</t>
  </si>
  <si>
    <t>4 - EIFS / Stucco</t>
  </si>
  <si>
    <t>5 - Impact rated glazing</t>
  </si>
  <si>
    <t>6 - Glazing not designed for impact with gravel rooftop within 1000ft</t>
  </si>
  <si>
    <t>7 - Vinyl siding</t>
  </si>
  <si>
    <t>1 - Batten decking / Skipped sheathing</t>
  </si>
  <si>
    <t>2 - 6d Nails - Any nail schedule</t>
  </si>
  <si>
    <t>3 - 8d Nails Minimum nail schedule</t>
  </si>
  <si>
    <t>4 - 8d Nails - High wind nail schedule</t>
  </si>
  <si>
    <t>5 - 10d Nails - High wind nail schedule</t>
  </si>
  <si>
    <t>6 - Dimensional lumber / Tongue &amp; groove decking with a minimum of 2 nails per board</t>
  </si>
  <si>
    <t>1 - Bolted</t>
  </si>
  <si>
    <t>2 - Unbolted</t>
  </si>
  <si>
    <t>1 - None</t>
  </si>
  <si>
    <t>2 - Fences / Carport</t>
  </si>
  <si>
    <t>3 - Screen Enclosure / Lanai (more than 15% of Bldg. value)</t>
  </si>
  <si>
    <t>4 - Screen Enclosure / Lanai (less than 15% of Bldg value)</t>
  </si>
  <si>
    <t>2 - Generally Protected (systems located 5ft above ground and/or have waterproof coverings)</t>
  </si>
  <si>
    <t>3 - Generally Unprotected (systems not elevated or do not have covering)</t>
  </si>
  <si>
    <t>2 - Generally Braced (metal braces or straps have been used to fasten the systems to walls)</t>
  </si>
  <si>
    <t>3 - Generally Non Braced (No braces or straps secure the systems)</t>
  </si>
  <si>
    <t>1 - designed for wind pressure impact resistant</t>
  </si>
  <si>
    <t>2 - designed for wind pressure only</t>
  </si>
  <si>
    <t>3 - Not designed for wind protection (flexible doors, thin doors, doors poorly attached to frame)</t>
  </si>
  <si>
    <t>4 - no door (tornado only)</t>
  </si>
  <si>
    <t>1 - All openings designed for Large Missiles</t>
  </si>
  <si>
    <t>2 - All opening designed for medium missiles</t>
  </si>
  <si>
    <t>3 - All openings designed for small missiles</t>
  </si>
  <si>
    <t>4 - All glazed openings designed for large missiles</t>
  </si>
  <si>
    <t>5 - All glazed openings designed for medium missiles</t>
  </si>
  <si>
    <t>6 - All glazed openings designed for small missiles</t>
  </si>
  <si>
    <t>7 - All glazed openings covered with plywood / oriented strand board (OSB)</t>
  </si>
  <si>
    <t>8 - At least one glazed exterior opening does not have wind-borne debris protection</t>
  </si>
  <si>
    <t>9 - No glazed exterior openings have wind-borne debris protection</t>
  </si>
  <si>
    <t>2 - Small airborne missiles (gravel, foliage) (structure is within 100ft of missiles)</t>
  </si>
  <si>
    <t>3 - Protective foliage</t>
  </si>
  <si>
    <t>4 - Gravel ballast present</t>
  </si>
  <si>
    <t>5 - Potential severe missile exposure (trees within striking distance of structure)</t>
  </si>
  <si>
    <t>6 - Isolated large trees</t>
  </si>
  <si>
    <t>1 - Flashing quality complies with the wind design standard for edge system (ANS/SPRI ES-1)</t>
  </si>
  <si>
    <t>2 - Does not comply with ES-1</t>
  </si>
  <si>
    <t>1 - Highly damageable (glassware, paper-based products)</t>
  </si>
  <si>
    <t>2 - Moderately damageable (computers)</t>
  </si>
  <si>
    <t>3 - Damageable (general office furniture)</t>
  </si>
  <si>
    <t>4 - Slightly damageable (stone, tires, highly protected contents)</t>
  </si>
  <si>
    <t>1371</t>
  </si>
  <si>
    <t>GODB</t>
  </si>
  <si>
    <t>1130</t>
  </si>
  <si>
    <t>FS31</t>
  </si>
  <si>
    <t>SUPERVISOR OF ELECTIONS OFFICE</t>
  </si>
  <si>
    <t>MF BOX CAR (EQUIP CONT.)</t>
  </si>
  <si>
    <t>FIRE STATION 26</t>
  </si>
  <si>
    <t>WEST ADMINISTRATION BUILDING</t>
  </si>
  <si>
    <t>EQUIPMENT CONTROL BUILDING</t>
  </si>
  <si>
    <t>URBAN GARDENING CENTER</t>
  </si>
  <si>
    <t>AIR COMPRESSOR BUILDING</t>
  </si>
  <si>
    <t>CAR WASH PAVILION</t>
  </si>
  <si>
    <t>OLD BIODIESEL BUILDING</t>
  </si>
  <si>
    <t>FIRE STATION 17</t>
  </si>
  <si>
    <t>FIRE STATION 10</t>
  </si>
  <si>
    <t>FIRE STATION 11</t>
  </si>
  <si>
    <t>FIRE STATION 13</t>
  </si>
  <si>
    <t>FIRE STATION 12</t>
  </si>
  <si>
    <t>RECREATION MAINTENANCE BUILDING</t>
  </si>
  <si>
    <t>GAS STATION</t>
  </si>
  <si>
    <t>FIRE STATION 15</t>
  </si>
  <si>
    <t>FIRE STATION 24</t>
  </si>
  <si>
    <t>DOCK/MARINA</t>
  </si>
  <si>
    <t>FIRE STATION 36</t>
  </si>
  <si>
    <t>FIRE STATION 18</t>
  </si>
  <si>
    <t>FIRE STATION 07</t>
  </si>
  <si>
    <t>FIRE STATION 31</t>
  </si>
  <si>
    <t>FIRE STATION 14</t>
  </si>
  <si>
    <t>Florida</t>
  </si>
  <si>
    <t>FL</t>
  </si>
  <si>
    <t>Jacksonville</t>
  </si>
  <si>
    <t>Duval</t>
  </si>
  <si>
    <t>N 30-22-26.0</t>
  </si>
  <si>
    <t>W 081-39-33.7</t>
  </si>
  <si>
    <t>N 30-19-47.2</t>
  </si>
  <si>
    <t>W 081-39-30.1</t>
  </si>
  <si>
    <t>N 30-19-41.3</t>
  </si>
  <si>
    <t>W 081-39-19.6</t>
  </si>
  <si>
    <t>N 30-19-52.3</t>
  </si>
  <si>
    <t>W 081-39-55.4</t>
  </si>
  <si>
    <t>N 30-19-52.0</t>
  </si>
  <si>
    <t>W 081-39-54.1</t>
  </si>
  <si>
    <t>N 30-19-15.3</t>
  </si>
  <si>
    <t>W 081-40-26.5</t>
  </si>
  <si>
    <t>N 30-20-24.4</t>
  </si>
  <si>
    <t>W 081-42-33.2</t>
  </si>
  <si>
    <t>N 30-20-29.9</t>
  </si>
  <si>
    <t>W 081-42-36.0</t>
  </si>
  <si>
    <t>N 30-22-00.5</t>
  </si>
  <si>
    <t>W 081-44-44.9</t>
  </si>
  <si>
    <t>N 30-20-26.7</t>
  </si>
  <si>
    <t>W 081-42-35.0</t>
  </si>
  <si>
    <t>N 30-20-26.1</t>
  </si>
  <si>
    <t>W 081-42-32.8</t>
  </si>
  <si>
    <t>N 30-20-28.1</t>
  </si>
  <si>
    <t>W 081-42-31.1</t>
  </si>
  <si>
    <t>W 081-42-32.3</t>
  </si>
  <si>
    <t>N 30-20-26.6</t>
  </si>
  <si>
    <t>W 081-42-36.4</t>
  </si>
  <si>
    <t>N 30-20-27.7</t>
  </si>
  <si>
    <t>W 081-42-38.7</t>
  </si>
  <si>
    <t>N 30-20-24.3</t>
  </si>
  <si>
    <t>W 081-42-35.5</t>
  </si>
  <si>
    <t>N 30-20-21.5</t>
  </si>
  <si>
    <t>W 081-42-37.9</t>
  </si>
  <si>
    <t>N 30-20-15.2</t>
  </si>
  <si>
    <t>W 081-42-36.7</t>
  </si>
  <si>
    <t>W 081-42-28.4</t>
  </si>
  <si>
    <t>N 30-20-14.0</t>
  </si>
  <si>
    <t>W 081-42-27.0</t>
  </si>
  <si>
    <t>N 30-20-17.6</t>
  </si>
  <si>
    <t>W 081-42-23.6</t>
  </si>
  <si>
    <t>N 30-20-17.0</t>
  </si>
  <si>
    <t>W 081-42-24.9</t>
  </si>
  <si>
    <t>N 30-20-19.1</t>
  </si>
  <si>
    <t>W 081-42-30.4</t>
  </si>
  <si>
    <t>N 30-19-52.6</t>
  </si>
  <si>
    <t>W 081-42-51.8</t>
  </si>
  <si>
    <t>N 30-18-40.9</t>
  </si>
  <si>
    <t>W 081-42-18.5</t>
  </si>
  <si>
    <t>N 30-21-58.1</t>
  </si>
  <si>
    <t>W 081-39-11.2</t>
  </si>
  <si>
    <t>N 30-20-28.0</t>
  </si>
  <si>
    <t>W 081-42-34.9</t>
  </si>
  <si>
    <t>N 30-21-18.8</t>
  </si>
  <si>
    <t>W 081-37-31.9</t>
  </si>
  <si>
    <t>N 30-21-17.9</t>
  </si>
  <si>
    <t>W 081-37-32.0</t>
  </si>
  <si>
    <t>N 30-20-25.5</t>
  </si>
  <si>
    <t>W 081-39-15.5</t>
  </si>
  <si>
    <t>N 30-18-17.0</t>
  </si>
  <si>
    <t>N 30-18-19.5</t>
  </si>
  <si>
    <t>W 081-37-49.3</t>
  </si>
  <si>
    <t>N 30-22-23.1</t>
  </si>
  <si>
    <t>W 081-39-33.5</t>
  </si>
  <si>
    <t>N 30-22-22.3</t>
  </si>
  <si>
    <t>W 081-39-31.9</t>
  </si>
  <si>
    <t>N 30-22-41.9</t>
  </si>
  <si>
    <t>W 081-39-23.4</t>
  </si>
  <si>
    <t>N 30-24-31.9</t>
  </si>
  <si>
    <t>N 30-23-22.3</t>
  </si>
  <si>
    <t>W 081-38-31.6</t>
  </si>
  <si>
    <t>N 30-23-24.5</t>
  </si>
  <si>
    <t>W 081-38-29.0</t>
  </si>
  <si>
    <t>N 30-21-35.6</t>
  </si>
  <si>
    <t>W 081-40-34.4</t>
  </si>
  <si>
    <t>N 30-17-04.5</t>
  </si>
  <si>
    <t>W 081-42-49.0</t>
  </si>
  <si>
    <t>LONGITUDE</t>
  </si>
  <si>
    <t>ISO CLASS</t>
  </si>
  <si>
    <t>RMS CONSTRUCTION CLASS</t>
  </si>
  <si>
    <t>AIR</t>
  </si>
  <si>
    <t>4A</t>
  </si>
  <si>
    <t>2C</t>
  </si>
  <si>
    <t>0071</t>
  </si>
  <si>
    <t>0451</t>
  </si>
  <si>
    <t>0025</t>
  </si>
  <si>
    <t>0002</t>
  </si>
  <si>
    <t>0016</t>
  </si>
  <si>
    <t>0442</t>
  </si>
  <si>
    <t>0435</t>
  </si>
  <si>
    <t>0437</t>
  </si>
  <si>
    <t>0436</t>
  </si>
  <si>
    <t>0425</t>
  </si>
  <si>
    <t>0439</t>
  </si>
  <si>
    <t>0438</t>
  </si>
  <si>
    <t>0441</t>
  </si>
  <si>
    <t>0449</t>
  </si>
  <si>
    <t>0462</t>
  </si>
  <si>
    <t>0461</t>
  </si>
  <si>
    <t>0443</t>
  </si>
  <si>
    <t>0430</t>
  </si>
  <si>
    <t>0440</t>
  </si>
  <si>
    <t>0428</t>
  </si>
  <si>
    <t>0427</t>
  </si>
  <si>
    <t>WEST 1ST STREET</t>
  </si>
  <si>
    <t>LIPPIA ROAD</t>
  </si>
  <si>
    <t>002</t>
  </si>
  <si>
    <t>WAREHOUSE</t>
  </si>
  <si>
    <t>LAKE NEWMAN COMMUNITY CENTER</t>
  </si>
  <si>
    <t>JAX BALDWIN RAIL TRAIL</t>
  </si>
  <si>
    <t>OLD SOUTHSIDE CITY HALL</t>
  </si>
  <si>
    <t>SOLID WASTE GARAGE</t>
  </si>
  <si>
    <t>EVERBANK STADIUM</t>
  </si>
  <si>
    <t>MAIN LIBRARY</t>
  </si>
  <si>
    <t>VETERANS MEMORIAL ARENA</t>
  </si>
  <si>
    <t>ED BALL BUILDING</t>
  </si>
  <si>
    <t>DUVAL COUNTY COURTHOUSE</t>
  </si>
  <si>
    <t>PRIME OSBORNE CONVENTION CENTER</t>
  </si>
  <si>
    <t>PRE-TRIAL DETENTION CENTER</t>
  </si>
  <si>
    <t>POLICE MEMORIAL BUILDING</t>
  </si>
  <si>
    <t>FIRE &amp; RESCUE HEADQUARTERS</t>
  </si>
  <si>
    <t>001</t>
  </si>
  <si>
    <t>OFFICE BUILDING</t>
  </si>
  <si>
    <t>JSO PROPERTY EVIDENCE FACILITY</t>
  </si>
  <si>
    <t>INDEPENDENT LIFE BUILDING</t>
  </si>
  <si>
    <t>JEA PLAZA GARAGE</t>
  </si>
  <si>
    <t>COMMUNITY CORRECTIONS CENTER</t>
  </si>
  <si>
    <t>FIRE MUSEUM (FIRE STATION 03)</t>
  </si>
  <si>
    <t>N 30-19-47.7</t>
  </si>
  <si>
    <t>W 081-39-03.9</t>
  </si>
  <si>
    <t>CLAUDE YATES GARAGE</t>
  </si>
  <si>
    <t>CLAUDE YATES BUILDING</t>
  </si>
  <si>
    <t>LIBRARY</t>
  </si>
  <si>
    <t>LIBRARY PARKING GARAGE</t>
  </si>
  <si>
    <t>MERRILL HOUSE</t>
  </si>
  <si>
    <t>N 30-19-36.5</t>
  </si>
  <si>
    <t>W 081-41-22.1</t>
  </si>
  <si>
    <t>CHURCH</t>
  </si>
  <si>
    <t>AIR MONITORING SITE</t>
  </si>
  <si>
    <t>MARIETTA CLINIC</t>
  </si>
  <si>
    <t>N 30-20-17.8</t>
  </si>
  <si>
    <t>W 081-42-36.1</t>
  </si>
  <si>
    <t>POLICE SUBSTATION</t>
  </si>
  <si>
    <t>W 081-42-35.3</t>
  </si>
  <si>
    <t>STORAGE</t>
  </si>
  <si>
    <t>PICKETT STORAGE BUILDING</t>
  </si>
  <si>
    <t>1128</t>
  </si>
  <si>
    <t>003</t>
  </si>
  <si>
    <t>AGRICULTURE CENTER</t>
  </si>
  <si>
    <t>004</t>
  </si>
  <si>
    <t>005</t>
  </si>
  <si>
    <t>MURRAY HILL BRANCH LIBRARY</t>
  </si>
  <si>
    <t>WILLOW BRANCH LIBRARY</t>
  </si>
  <si>
    <t>RITZ THEATRE</t>
  </si>
  <si>
    <t>JSO VEHICLE IMPOUND WAREHOUSE</t>
  </si>
  <si>
    <t>JSO VEHICLE WAREHOUSE</t>
  </si>
  <si>
    <t>1089-2</t>
  </si>
  <si>
    <t>JSO PROPERTY WAREHOUSE</t>
  </si>
  <si>
    <t>1089-1</t>
  </si>
  <si>
    <t>VICTIM SERVICES BUILDING</t>
  </si>
  <si>
    <t>LONGBRANCH COMMUNITY CENTER</t>
  </si>
  <si>
    <t>MEDICAL EXAMINER</t>
  </si>
  <si>
    <t>CENTRAL HEALTH PLAZA</t>
  </si>
  <si>
    <t>ROBERT F. KENNEDY CENTER</t>
  </si>
  <si>
    <t>GROUNDS MAINTENANCE WAREHOUSE</t>
  </si>
  <si>
    <t>BROWN EASTSIDE BRANCH LIBRARY</t>
  </si>
  <si>
    <t>MOTOR VEHICLE INSPECTION STATION</t>
  </si>
  <si>
    <t>BRENTWOOD BRANCH LIBRARY</t>
  </si>
  <si>
    <t>JACKSONVILLE MARITIME MUSEUM</t>
  </si>
  <si>
    <t>CUBA HUNTER PARK</t>
  </si>
  <si>
    <t>SAN MARCO BRANCH LIBRARY</t>
  </si>
  <si>
    <t>GIRLS CLUB</t>
  </si>
  <si>
    <t>RECEIVER SITE</t>
  </si>
  <si>
    <t>PANAMA PARK</t>
  </si>
  <si>
    <t>LOUIS DINAH SENIOR CENTER</t>
  </si>
  <si>
    <t>GEORGE KERNS COMPLEX</t>
  </si>
  <si>
    <t>GRAND PARK CLINIC</t>
  </si>
  <si>
    <t>PEARSON DAYCARE CENTER</t>
  </si>
  <si>
    <t>CEDAR HILLS PARK</t>
  </si>
  <si>
    <t>SWEETWATER PARK</t>
  </si>
  <si>
    <t>FIRE STATION 60</t>
  </si>
  <si>
    <t>FIRE STATION 22</t>
  </si>
  <si>
    <t>FIRE STATION 23</t>
  </si>
  <si>
    <t>FCS</t>
  </si>
  <si>
    <t>FIRE STATION 19</t>
  </si>
  <si>
    <t>ARLINGTON SENIOR CENTER</t>
  </si>
  <si>
    <t>FIRE STATION 20</t>
  </si>
  <si>
    <t>FIRE STATION 28</t>
  </si>
  <si>
    <t>BRACKRIDGE PARK</t>
  </si>
  <si>
    <t>FIRE STATION 21</t>
  </si>
  <si>
    <t>N 30-15-29.3</t>
  </si>
  <si>
    <t>W 081-37-06.7</t>
  </si>
  <si>
    <t>N 30-14-57.7</t>
  </si>
  <si>
    <t>W 081-36-48.2</t>
  </si>
  <si>
    <t>N 30-14-37.8</t>
  </si>
  <si>
    <t>W 081-36-28.7</t>
  </si>
  <si>
    <t>CONCESSION/PRESSBOX</t>
  </si>
  <si>
    <t>SISTERS CREEK MARINA</t>
  </si>
  <si>
    <t>N 30-23-45.3</t>
  </si>
  <si>
    <t>W 081-27-36.9</t>
  </si>
  <si>
    <t>1485</t>
  </si>
  <si>
    <t>PARK RESIDENCE</t>
  </si>
  <si>
    <t>N 30-23-48.9</t>
  </si>
  <si>
    <t>RESIDENCE</t>
  </si>
  <si>
    <t>JSO TRAINING ACADEMY</t>
  </si>
  <si>
    <t>N 30-25-48.0</t>
  </si>
  <si>
    <t>W 081-43-27.9</t>
  </si>
  <si>
    <t>CWNG</t>
  </si>
  <si>
    <t>C-WING MALE INMATE HOUSING</t>
  </si>
  <si>
    <t>N 30-32-17.8</t>
  </si>
  <si>
    <t>W 081-43-29.3</t>
  </si>
  <si>
    <t>3A</t>
  </si>
  <si>
    <t>RSMF</t>
  </si>
  <si>
    <t>N 30-32-19.3</t>
  </si>
  <si>
    <t>W 081-43-32.6</t>
  </si>
  <si>
    <t>SUPP</t>
  </si>
  <si>
    <t>N 30-32-21.1</t>
  </si>
  <si>
    <t>W 081-43-35.3</t>
  </si>
  <si>
    <t>SUPPLY WAREHOUSE MAIN OFFICE</t>
  </si>
  <si>
    <t>N 30-32-20.6</t>
  </si>
  <si>
    <t>W 081-43-34.9</t>
  </si>
  <si>
    <t>N 30-26-23.4</t>
  </si>
  <si>
    <t>W 081-41-56.9</t>
  </si>
  <si>
    <t>AMMO STORAGE BUILDING/ PRESSBOX</t>
  </si>
  <si>
    <t>N 30-32-30.8</t>
  </si>
  <si>
    <t>W 081-43-52.0</t>
  </si>
  <si>
    <t>OCEANWAY COMMUNITY HEALTH ANNEX</t>
  </si>
  <si>
    <t>N 30-27-58.9</t>
  </si>
  <si>
    <t>W 081-37-42.2</t>
  </si>
  <si>
    <t>ACSP</t>
  </si>
  <si>
    <t>N 30-32-18.3</t>
  </si>
  <si>
    <t>W 081-43-30.5</t>
  </si>
  <si>
    <t>2002</t>
  </si>
  <si>
    <t>013</t>
  </si>
  <si>
    <t>TRAINING SHOOT HOUSE</t>
  </si>
  <si>
    <t>N 30-32-32.2</t>
  </si>
  <si>
    <t>W 081-44-02.3</t>
  </si>
  <si>
    <t>N 30-25-43.5</t>
  </si>
  <si>
    <t>W 081-39-42.2</t>
  </si>
  <si>
    <t>MAIL</t>
  </si>
  <si>
    <t>N 30-32-23.9</t>
  </si>
  <si>
    <t>W 081-43-29.6</t>
  </si>
  <si>
    <t>N 30-32-59.9</t>
  </si>
  <si>
    <t>W 081-42-36.5</t>
  </si>
  <si>
    <t>PAVILION</t>
  </si>
  <si>
    <t>N 30-32-19.9</t>
  </si>
  <si>
    <t>W 081-43-36.7</t>
  </si>
  <si>
    <t>012</t>
  </si>
  <si>
    <t>N 30-32-31.7</t>
  </si>
  <si>
    <t>W 081-44-02.4</t>
  </si>
  <si>
    <t>SUPPLY STORAGE BUILDING</t>
  </si>
  <si>
    <t>N 30-32-17.1</t>
  </si>
  <si>
    <t>W 081-43-33.2</t>
  </si>
  <si>
    <t>N 30-24-09.3</t>
  </si>
  <si>
    <t>W 081-39-48.4</t>
  </si>
  <si>
    <t>RESTROOM</t>
  </si>
  <si>
    <t>FCLN</t>
  </si>
  <si>
    <t>N 30-32-22.5</t>
  </si>
  <si>
    <t>W 081-43-33.1</t>
  </si>
  <si>
    <t>CLINIC</t>
  </si>
  <si>
    <t>NCMC</t>
  </si>
  <si>
    <t>N 30-32-28.6</t>
  </si>
  <si>
    <t>W 081-43-37.0</t>
  </si>
  <si>
    <t>SUOB</t>
  </si>
  <si>
    <t>SECURITY UNIT OFFICE BUILDING</t>
  </si>
  <si>
    <t>N 30-32-16.6</t>
  </si>
  <si>
    <t>W 081-43-31.8</t>
  </si>
  <si>
    <t>N 30-32-29.9</t>
  </si>
  <si>
    <t>W 081-43-51.7</t>
  </si>
  <si>
    <t>N 30-32-29.7</t>
  </si>
  <si>
    <t>W 081-43-52.1</t>
  </si>
  <si>
    <t>N 30-32-29.6</t>
  </si>
  <si>
    <t>W 081-43-52.4</t>
  </si>
  <si>
    <t>006</t>
  </si>
  <si>
    <t>N 30-32-30.7</t>
  </si>
  <si>
    <t>W 081-43-52.7</t>
  </si>
  <si>
    <t>007</t>
  </si>
  <si>
    <t>STORAGE BUILDING BY CLASSROOM</t>
  </si>
  <si>
    <t>N 30-32-30.0</t>
  </si>
  <si>
    <t>008</t>
  </si>
  <si>
    <t>STORAGE BUILDING BY OBSTACLE COURSE</t>
  </si>
  <si>
    <t>N 30-32-29.4</t>
  </si>
  <si>
    <t>W 081-43-51.1</t>
  </si>
  <si>
    <t>009</t>
  </si>
  <si>
    <t>STORAGE BUILDING BY RANGE II</t>
  </si>
  <si>
    <t>N 30-32-30.6</t>
  </si>
  <si>
    <t>W 081-43-53.0</t>
  </si>
  <si>
    <t>010</t>
  </si>
  <si>
    <t>STORAGE BUILDING BY RANGE III</t>
  </si>
  <si>
    <t>N 30-32-30.1</t>
  </si>
  <si>
    <t>W 081-43-49.6</t>
  </si>
  <si>
    <t>1591</t>
  </si>
  <si>
    <t>N 30-32-32.0</t>
  </si>
  <si>
    <t>N 30-32-32.3</t>
  </si>
  <si>
    <t>W 081-43-49.7</t>
  </si>
  <si>
    <t>SASU</t>
  </si>
  <si>
    <t>STORAGE AREA SECURITY UNIT</t>
  </si>
  <si>
    <t>N 30-32-16.1</t>
  </si>
  <si>
    <t>W 081-43-32.3</t>
  </si>
  <si>
    <t>011</t>
  </si>
  <si>
    <t>W 081-43-54.5</t>
  </si>
  <si>
    <t>0261</t>
  </si>
  <si>
    <t>MCC BARN</t>
  </si>
  <si>
    <t>N 30-32-44.5</t>
  </si>
  <si>
    <t>W 081-43-44.4</t>
  </si>
  <si>
    <t>W 081-43-50.8</t>
  </si>
  <si>
    <t>W 081-43-51.3</t>
  </si>
  <si>
    <t>N 30-26-17.7</t>
  </si>
  <si>
    <t>W 081-41-46.5</t>
  </si>
  <si>
    <t>BIOF</t>
  </si>
  <si>
    <t>N 30-32-20.3</t>
  </si>
  <si>
    <t>W 081-43-34.3</t>
  </si>
  <si>
    <t>N 30-32-27.4</t>
  </si>
  <si>
    <t>W 081-43-35.6</t>
  </si>
  <si>
    <t>1281</t>
  </si>
  <si>
    <t>BUILDING E</t>
  </si>
  <si>
    <t>N 30-32-25.7</t>
  </si>
  <si>
    <t>W 081-43-36.5</t>
  </si>
  <si>
    <t>BUILDING F</t>
  </si>
  <si>
    <t>N 30-32-27.8</t>
  </si>
  <si>
    <t>W 081-43-37.2</t>
  </si>
  <si>
    <t>N 30-32-20.5</t>
  </si>
  <si>
    <t>W 081-43-32.8</t>
  </si>
  <si>
    <t>N 30-32-45.8</t>
  </si>
  <si>
    <t>W 081-43-42.3</t>
  </si>
  <si>
    <t>N 30-32-44.4</t>
  </si>
  <si>
    <t>W 081-43-45.8</t>
  </si>
  <si>
    <t>RESTROOM BUILDING</t>
  </si>
  <si>
    <t>N 30-32-43.2</t>
  </si>
  <si>
    <t>W 081-43-45.1</t>
  </si>
  <si>
    <t>W 081-43-31.3</t>
  </si>
  <si>
    <t>N 30-32-45.4</t>
  </si>
  <si>
    <t>W 081-43-43.0</t>
  </si>
  <si>
    <t>N 30-32-44.8</t>
  </si>
  <si>
    <t>W 081-43-43.9</t>
  </si>
  <si>
    <t>TRACTOR SHED</t>
  </si>
  <si>
    <t>N 30-32-41.2</t>
  </si>
  <si>
    <t>N 30-32-51.0</t>
  </si>
  <si>
    <t>W 081-43-46.5</t>
  </si>
  <si>
    <t>HOUSE</t>
  </si>
  <si>
    <t>HORSE BARN</t>
  </si>
  <si>
    <t>N 30-32-39.4</t>
  </si>
  <si>
    <t>W 081-43-40.3</t>
  </si>
  <si>
    <t>HORSE BARN STORAGE</t>
  </si>
  <si>
    <t>N 30-32-38.1</t>
  </si>
  <si>
    <t>W 081-43-42.6</t>
  </si>
  <si>
    <t>N 30-32-19.0</t>
  </si>
  <si>
    <t>W 081-43-28.0</t>
  </si>
  <si>
    <t>GUN RANGE</t>
  </si>
  <si>
    <t>N 30-32-46.1</t>
  </si>
  <si>
    <t>W 081-43-38.6</t>
  </si>
  <si>
    <t>W 081-43-28.4</t>
  </si>
  <si>
    <t>N 30-32-20.2</t>
  </si>
  <si>
    <t>N 30-32-45.3</t>
  </si>
  <si>
    <t>W 081-43-45.2</t>
  </si>
  <si>
    <t>N 30-32-16.9</t>
  </si>
  <si>
    <t>W 081-43-32.5</t>
  </si>
  <si>
    <t>N 30-32-22.2</t>
  </si>
  <si>
    <t>W 081-43-34.7</t>
  </si>
  <si>
    <t>N 30-28-27.4</t>
  </si>
  <si>
    <t>W 081-35-29.4</t>
  </si>
  <si>
    <t>N 30-26-39.5</t>
  </si>
  <si>
    <t>W 081-36-37.3</t>
  </si>
  <si>
    <t>W 081-36-37.6</t>
  </si>
  <si>
    <t>FIRE STATION 35</t>
  </si>
  <si>
    <t>N 30-28-13.0</t>
  </si>
  <si>
    <t>W 081-37-52.2</t>
  </si>
  <si>
    <t>FIRE STATION 34</t>
  </si>
  <si>
    <t>N 30-26-23.5</t>
  </si>
  <si>
    <t>W 081-42-05.8</t>
  </si>
  <si>
    <t>MAINTENANCE/STORAGE BUILDING</t>
  </si>
  <si>
    <t>N 30-26-23.7</t>
  </si>
  <si>
    <t>W 081-42-07.5</t>
  </si>
  <si>
    <t>N 30-32-46.4</t>
  </si>
  <si>
    <t>W 081-43-39.8</t>
  </si>
  <si>
    <t>N 30-26-18.0</t>
  </si>
  <si>
    <t>W 081-37-45.9</t>
  </si>
  <si>
    <t>0389</t>
  </si>
  <si>
    <t>N 30-25-54.0</t>
  </si>
  <si>
    <t>W 081-43-26.6</t>
  </si>
  <si>
    <t>0390</t>
  </si>
  <si>
    <t>N 30-25-53.3</t>
  </si>
  <si>
    <t>W 081-43-25.1</t>
  </si>
  <si>
    <t>N 30-25-54.2</t>
  </si>
  <si>
    <t>W 081-43-24.7</t>
  </si>
  <si>
    <t>0285</t>
  </si>
  <si>
    <t>N 30-26-02.1</t>
  </si>
  <si>
    <t>W 081-40-37.5</t>
  </si>
  <si>
    <t>N 30-25-55.1</t>
  </si>
  <si>
    <t>W 081-40-46.9</t>
  </si>
  <si>
    <t>BASEBALL CONCESSION/RESTROOM</t>
  </si>
  <si>
    <t>N 30-25-59.3</t>
  </si>
  <si>
    <t>W 081-40-43.1</t>
  </si>
  <si>
    <t>HIGHLAND REGIONAL BRANCH LIBRARY</t>
  </si>
  <si>
    <t>N 30-26-02.6</t>
  </si>
  <si>
    <t>W 081-40-31.3</t>
  </si>
  <si>
    <t>FIRE STATION 33</t>
  </si>
  <si>
    <t>FIRE STATION 53</t>
  </si>
  <si>
    <t>HOME GARDENS PARK</t>
  </si>
  <si>
    <t>FIRE STATION 57</t>
  </si>
  <si>
    <t>POPE DUVAL PARK</t>
  </si>
  <si>
    <t>JONES STREET PARK</t>
  </si>
  <si>
    <t>6222-1</t>
  </si>
  <si>
    <t>FIRE STATION 32</t>
  </si>
  <si>
    <t>MANDARIN ROAD</t>
  </si>
  <si>
    <t>WALTER JONES HISTORICAL PARK</t>
  </si>
  <si>
    <t>ALBERT FIELD</t>
  </si>
  <si>
    <t>CHUCK ROGERS PARK</t>
  </si>
  <si>
    <t>SOUTH MANDARIN BRANCH LIBRARY</t>
  </si>
  <si>
    <t>PABLO CREEK LIBRARY</t>
  </si>
  <si>
    <t>FIRE STATION 58</t>
  </si>
  <si>
    <t>855-18</t>
  </si>
  <si>
    <t>JACKSONVILLE BEACH PIER</t>
  </si>
  <si>
    <t>REGENCY SQUARE BRANCH LIBRARY</t>
  </si>
  <si>
    <t>FIRE STATION 30</t>
  </si>
  <si>
    <t>FIRE STATION 29</t>
  </si>
  <si>
    <t>FIRE STATION 37</t>
  </si>
  <si>
    <t>N 30-25-16.8</t>
  </si>
  <si>
    <t>W 081-38-07.5</t>
  </si>
  <si>
    <t>FIRE STATION 49</t>
  </si>
  <si>
    <t>PALMS FISH CAMP</t>
  </si>
  <si>
    <t>HUGUENOT MEMORIAL PARK OFFICE</t>
  </si>
  <si>
    <t>FIRE STATION 55</t>
  </si>
  <si>
    <t>MAXVILLE BRANCH LIBRARY</t>
  </si>
  <si>
    <t>FIRE STATION 43</t>
  </si>
  <si>
    <t>FIRE STATION 46</t>
  </si>
  <si>
    <t>FIRE STATION 52</t>
  </si>
  <si>
    <t>FIRE STATION 25</t>
  </si>
  <si>
    <t>ARGYLE FOREST PARK</t>
  </si>
  <si>
    <t>RINGHAVER PARK</t>
  </si>
  <si>
    <t>WESCONNETT FAMILY HEALTH CENTER</t>
  </si>
  <si>
    <t>ARGYLE BRANCH LIBRARY</t>
  </si>
  <si>
    <t>FIRE TRAINING ACADEMY</t>
  </si>
  <si>
    <t>BEACHWOOD CENTER</t>
  </si>
  <si>
    <t>WINDY HILLS PARK</t>
  </si>
  <si>
    <t>PATTON PARK</t>
  </si>
  <si>
    <t>FIRE STATION 50</t>
  </si>
  <si>
    <t>ISLE OF PALMS PARK</t>
  </si>
  <si>
    <t>N 30-16-41.0</t>
  </si>
  <si>
    <t>W 081-26-03.6</t>
  </si>
  <si>
    <t>GAZEBO</t>
  </si>
  <si>
    <t>N 30-17-13.0</t>
  </si>
  <si>
    <t>W 081-23-33.3</t>
  </si>
  <si>
    <t>N 30-16-18.3</t>
  </si>
  <si>
    <t>W 081-23-14.4</t>
  </si>
  <si>
    <t>COMMUNITY CENTER</t>
  </si>
  <si>
    <t>STORAGE BUILDING (SHED)</t>
  </si>
  <si>
    <t>N 30-16-17.8</t>
  </si>
  <si>
    <t>W 081-23-15.2</t>
  </si>
  <si>
    <t>EQUESTRIAN CENTER</t>
  </si>
  <si>
    <t>WESTBROOK BRANCH LIBRARY</t>
  </si>
  <si>
    <t>N 30-20-13.1</t>
  </si>
  <si>
    <t>W 081-42-53.2</t>
  </si>
  <si>
    <t>N 30-20-20.7</t>
  </si>
  <si>
    <t>N 30-20-22.2</t>
  </si>
  <si>
    <t>W 081-42-33.9</t>
  </si>
  <si>
    <t>N 30-20-19.9</t>
  </si>
  <si>
    <t>W 081-42-40.1</t>
  </si>
  <si>
    <t>N 30-20-22.8</t>
  </si>
  <si>
    <t>W 081-42-36.6</t>
  </si>
  <si>
    <t>N 30-20-13.3</t>
  </si>
  <si>
    <t>W 081-42-40.4</t>
  </si>
  <si>
    <t>N 30-20-20.0</t>
  </si>
  <si>
    <t>W 081-42-41.0</t>
  </si>
  <si>
    <t>N 30-20-20.2</t>
  </si>
  <si>
    <t>W 081-42-37.0</t>
  </si>
  <si>
    <t>N 30-20-22.7</t>
  </si>
  <si>
    <t>W 081-42-38.2</t>
  </si>
  <si>
    <t>FS59</t>
  </si>
  <si>
    <t>FIRE STATION 59</t>
  </si>
  <si>
    <t>N 30-15-58.1</t>
  </si>
  <si>
    <t>W 081-26-46.6</t>
  </si>
  <si>
    <t>PW ROWGM WEST YARD M&amp;C SUPPLY TRAILER</t>
  </si>
  <si>
    <t>W 081-42-34.1</t>
  </si>
  <si>
    <t>W 081-42-41.3</t>
  </si>
  <si>
    <t>N 30-18-35.8</t>
  </si>
  <si>
    <t>W 081-44-36.0</t>
  </si>
  <si>
    <t>APPLIANCE FACILITY</t>
  </si>
  <si>
    <t>N 30-20-20.8</t>
  </si>
  <si>
    <t>W 081-42-39.4</t>
  </si>
  <si>
    <t>N 30-20-30.3</t>
  </si>
  <si>
    <t>W 081-42-32.2</t>
  </si>
  <si>
    <t>JAMES FIELDS PARK</t>
  </si>
  <si>
    <t>N 30-21-43.5</t>
  </si>
  <si>
    <t>W 081-44-39.8</t>
  </si>
  <si>
    <t>N 30-20-27.9</t>
  </si>
  <si>
    <t>W 081-42-32.9</t>
  </si>
  <si>
    <t>WEST AREA TOOL ROOM</t>
  </si>
  <si>
    <t>N 30-20-27.8</t>
  </si>
  <si>
    <t>N 30-20-29.3</t>
  </si>
  <si>
    <t>W 081-42-30.8</t>
  </si>
  <si>
    <t>TIRE SHOP</t>
  </si>
  <si>
    <t>SERVICE STATION</t>
  </si>
  <si>
    <t>N 30-20-17.9</t>
  </si>
  <si>
    <t>W 081-42-34.7</t>
  </si>
  <si>
    <t>SERVICE ENTRANCE</t>
  </si>
  <si>
    <t>N 30-20-19.5</t>
  </si>
  <si>
    <t>W 081-42-34.6</t>
  </si>
  <si>
    <t>OIL DRUM CONTAINMENT AREA</t>
  </si>
  <si>
    <t>N 30-20-18.0</t>
  </si>
  <si>
    <t>W 081-42-33.8</t>
  </si>
  <si>
    <t>SOUTHEAST BRANCH LIBRARY</t>
  </si>
  <si>
    <t>FIRE STATION 54</t>
  </si>
  <si>
    <t>FIRE STATION 44</t>
  </si>
  <si>
    <t>TACTICAL SUPPORT</t>
  </si>
  <si>
    <t>N 30-19-19.6</t>
  </si>
  <si>
    <t>W 081-44-36.1</t>
  </si>
  <si>
    <t>LORP</t>
  </si>
  <si>
    <t>N 30-10-38.7</t>
  </si>
  <si>
    <t>W 081-34-01.3</t>
  </si>
  <si>
    <t>N 30-10-46.1</t>
  </si>
  <si>
    <t>W 081-34-03.9</t>
  </si>
  <si>
    <t>N 30-11-13.9</t>
  </si>
  <si>
    <t>W 081-37-33.3</t>
  </si>
  <si>
    <t>N 30-12-17.5</t>
  </si>
  <si>
    <t>W 081-37-14.9</t>
  </si>
  <si>
    <t>FIRE STATION 51</t>
  </si>
  <si>
    <t>N 30-11-41.5</t>
  </si>
  <si>
    <t>W 081-36-43.6</t>
  </si>
  <si>
    <t>0047</t>
  </si>
  <si>
    <t>MANDARIN SENIOR CENTER</t>
  </si>
  <si>
    <t>N 30-11-03.5</t>
  </si>
  <si>
    <t>W 081-36-49.8</t>
  </si>
  <si>
    <t>COMMUNITY ROOM I</t>
  </si>
  <si>
    <t>N 30-11-03.3</t>
  </si>
  <si>
    <t>COMMUNITY ROOM II</t>
  </si>
  <si>
    <t>N 30-11-03.6</t>
  </si>
  <si>
    <t>W 081-36-48.3</t>
  </si>
  <si>
    <t>0360</t>
  </si>
  <si>
    <t>N 30-10-36.3</t>
  </si>
  <si>
    <t>W 081-36-59.0</t>
  </si>
  <si>
    <t>RESTROOM BUILDING I</t>
  </si>
  <si>
    <t>N 30-10-34.9</t>
  </si>
  <si>
    <t>W 081-36-59.3</t>
  </si>
  <si>
    <t>RESTROOM BUILDING II</t>
  </si>
  <si>
    <t>N 30-10-35.5</t>
  </si>
  <si>
    <t>W 081-37-06.6</t>
  </si>
  <si>
    <t>N 30-10-35.9</t>
  </si>
  <si>
    <t>W 081-37-04.8</t>
  </si>
  <si>
    <t>UNIVERSITY PARK LIBRARY</t>
  </si>
  <si>
    <t>EQUIPMENT WAREHOUSE</t>
  </si>
  <si>
    <t>N 30-20-13.6</t>
  </si>
  <si>
    <t>W 081-42-40.8</t>
  </si>
  <si>
    <t>0424</t>
  </si>
  <si>
    <t>0446</t>
  </si>
  <si>
    <t>0368</t>
  </si>
  <si>
    <t>0246</t>
  </si>
  <si>
    <t>0260</t>
  </si>
  <si>
    <t>0245</t>
  </si>
  <si>
    <t>0250</t>
  </si>
  <si>
    <t>0265</t>
  </si>
  <si>
    <t>0263</t>
  </si>
  <si>
    <t>0255</t>
  </si>
  <si>
    <t>0374</t>
  </si>
  <si>
    <t>0460</t>
  </si>
  <si>
    <t>0459</t>
  </si>
  <si>
    <t>0471</t>
  </si>
  <si>
    <t>0307</t>
  </si>
  <si>
    <t>0183</t>
  </si>
  <si>
    <t>0483</t>
  </si>
  <si>
    <t>0034</t>
  </si>
  <si>
    <t>0177</t>
  </si>
  <si>
    <t>0519</t>
  </si>
  <si>
    <t>0520</t>
  </si>
  <si>
    <t>0521</t>
  </si>
  <si>
    <t>0364</t>
  </si>
  <si>
    <t>0022</t>
  </si>
  <si>
    <t>0021</t>
  </si>
  <si>
    <t>0017</t>
  </si>
  <si>
    <t>0020</t>
  </si>
  <si>
    <t>0019</t>
  </si>
  <si>
    <t>0429</t>
  </si>
  <si>
    <t>0186</t>
  </si>
  <si>
    <t>0474</t>
  </si>
  <si>
    <t>0254</t>
  </si>
  <si>
    <t>0264</t>
  </si>
  <si>
    <t>0270</t>
  </si>
  <si>
    <t>0266</t>
  </si>
  <si>
    <t>BIOM</t>
  </si>
  <si>
    <t>N 30-32-29.0</t>
  </si>
  <si>
    <t>W 081-43-35.5</t>
  </si>
  <si>
    <t>SUPERIOR STREET</t>
  </si>
  <si>
    <t>COMMMONWEALTH AVENUE</t>
  </si>
  <si>
    <t>19TH AVENUE SOUTH</t>
  </si>
  <si>
    <t>HARTLEY ROAD</t>
  </si>
  <si>
    <t>EAST MONROE STREET</t>
  </si>
  <si>
    <t>DUNN AVENUE</t>
  </si>
  <si>
    <t>KORI ROAD</t>
  </si>
  <si>
    <t>LANNIE ROAD</t>
  </si>
  <si>
    <t>LEONID ROAD</t>
  </si>
  <si>
    <t>BAISDEN STREET</t>
  </si>
  <si>
    <t>BURNETT PARK ROAD</t>
  </si>
  <si>
    <t>ELLIS ROAD</t>
  </si>
  <si>
    <t>MAXWELL ROAD</t>
  </si>
  <si>
    <t>ELMAR ROAD</t>
  </si>
  <si>
    <t>KEY HAVEN BOULEVARD</t>
  </si>
  <si>
    <t>LIBERTY STREET</t>
  </si>
  <si>
    <t>MAIN STREET</t>
  </si>
  <si>
    <t>WEST DUVAL STREET</t>
  </si>
  <si>
    <t>RIVERSIDE AVENUE</t>
  </si>
  <si>
    <t>FOREST STREET</t>
  </si>
  <si>
    <t>DIVISION STREET</t>
  </si>
  <si>
    <t>SOUTH MCDUFF AVENUE</t>
  </si>
  <si>
    <t>TALLEYRAND AVENUE</t>
  </si>
  <si>
    <t>ATLANTIC BOULEVARD</t>
  </si>
  <si>
    <t>HERSCHEL STREET</t>
  </si>
  <si>
    <t>NORTH PEARL STREET</t>
  </si>
  <si>
    <t>HURON STREET</t>
  </si>
  <si>
    <t>MYRTLE AVENUE</t>
  </si>
  <si>
    <t>POWERS AVENUE</t>
  </si>
  <si>
    <t>LEM TURNER ROAD</t>
  </si>
  <si>
    <t>PICKETVILLE ROAD</t>
  </si>
  <si>
    <t>ROSS BOULEVARD</t>
  </si>
  <si>
    <t>NORTH MAIN STREET</t>
  </si>
  <si>
    <t>TROUT RIVER DRIVE</t>
  </si>
  <si>
    <t>OLD SAINT AUGUSTINE ROAD</t>
  </si>
  <si>
    <t>1ST AVENUE SOUTH</t>
  </si>
  <si>
    <t>COMMONWEALTH AVENUE</t>
  </si>
  <si>
    <t>EASTPORT ROAD</t>
  </si>
  <si>
    <t>SAN JOSE BOULEVARD</t>
  </si>
  <si>
    <t>WEST 44TH STREET</t>
  </si>
  <si>
    <t>NORTH BUSCH DRIVE</t>
  </si>
  <si>
    <t>OCEANWAY AVENUE</t>
  </si>
  <si>
    <t>LANE AVENUE</t>
  </si>
  <si>
    <t>EUNICE ROAD</t>
  </si>
  <si>
    <t>HECKSCHER DRIVE</t>
  </si>
  <si>
    <t>LAURA STREET</t>
  </si>
  <si>
    <t>CAPPER ROAD</t>
  </si>
  <si>
    <t>HILLMAN DRIVE</t>
  </si>
  <si>
    <t>WILLIAM DAVIS PARKWAY</t>
  </si>
  <si>
    <t>NORTH LAURA STREET</t>
  </si>
  <si>
    <t>SOUTH HOOD ROAD</t>
  </si>
  <si>
    <t>SAGO AVENUE</t>
  </si>
  <si>
    <t>SAGO AVENUE WEST</t>
  </si>
  <si>
    <t>JACKSONVILLE</t>
  </si>
  <si>
    <t>DUVAL</t>
  </si>
  <si>
    <t>FLORIDA</t>
  </si>
  <si>
    <t>BLDGNUM</t>
  </si>
  <si>
    <t>BLDGNAME</t>
  </si>
  <si>
    <t>0184</t>
  </si>
  <si>
    <t>0277</t>
  </si>
  <si>
    <t>0365</t>
  </si>
  <si>
    <t>0404</t>
  </si>
  <si>
    <t>0405</t>
  </si>
  <si>
    <t>0491</t>
  </si>
  <si>
    <t>0492</t>
  </si>
  <si>
    <t>1100</t>
  </si>
  <si>
    <t>1103</t>
  </si>
  <si>
    <t>1299</t>
  </si>
  <si>
    <t>1492</t>
  </si>
  <si>
    <t>1596</t>
  </si>
  <si>
    <t>1603</t>
  </si>
  <si>
    <t>2100</t>
  </si>
  <si>
    <t>2110</t>
  </si>
  <si>
    <t>2111</t>
  </si>
  <si>
    <t>2112</t>
  </si>
  <si>
    <t>2115</t>
  </si>
  <si>
    <t>2116</t>
  </si>
  <si>
    <t>2117</t>
  </si>
  <si>
    <t>2118</t>
  </si>
  <si>
    <t>2121</t>
  </si>
  <si>
    <t>2122</t>
  </si>
  <si>
    <t>2125</t>
  </si>
  <si>
    <t>2130</t>
  </si>
  <si>
    <t>2135</t>
  </si>
  <si>
    <t>2150</t>
  </si>
  <si>
    <t>2182</t>
  </si>
  <si>
    <t>2183</t>
  </si>
  <si>
    <t>2189</t>
  </si>
  <si>
    <t>BEACH BRANCH LIBRARY</t>
  </si>
  <si>
    <t>OLD BRICK BUILDING</t>
  </si>
  <si>
    <t>JAMES P. SMALL BALL PARK</t>
  </si>
  <si>
    <t>TIMES UNION CENTER</t>
  </si>
  <si>
    <t>ARENA GARAGE</t>
  </si>
  <si>
    <t>PARKING FACILITY</t>
  </si>
  <si>
    <t>CITY HALL/COUNTY COURTHOUSE</t>
  </si>
  <si>
    <t>CITY HALL/SAINT JAMES BUILDING</t>
  </si>
  <si>
    <t>JACKSONVILLE HEALTH CENTER</t>
  </si>
  <si>
    <t>BALDWIN WATER TOWER</t>
  </si>
  <si>
    <t>SPORTS COMPLEX</t>
  </si>
  <si>
    <t>DUVAL COUNTY UNIFIED COURTHOUSE</t>
  </si>
  <si>
    <t>ALEJANDRO GARCES CAMP TOMAHAWK</t>
  </si>
  <si>
    <t>TILLIE FOWLER PARK</t>
  </si>
  <si>
    <t>MCGRITS CREEK PARK</t>
  </si>
  <si>
    <t>BESSIE CIRCLE HOUSE</t>
  </si>
  <si>
    <t>SCHELL-SWEET COMMUNITY CENTER</t>
  </si>
  <si>
    <t>WORK RELEASE FACILITY</t>
  </si>
  <si>
    <t>SOUTHBANK RIVERWALK</t>
  </si>
  <si>
    <t>M.O.S.H</t>
  </si>
  <si>
    <t>NORTHBANK RIVERWALK</t>
  </si>
  <si>
    <t>MCCOYS CREEK PARK</t>
  </si>
  <si>
    <t>OLD FEDERAL COURTHOUSE</t>
  </si>
  <si>
    <t>BEACHES BRANCH LIBRARY</t>
  </si>
  <si>
    <t>OLD BRICK OFFICE BUILDING</t>
  </si>
  <si>
    <t>JAMES P SMALL BALL PARK</t>
  </si>
  <si>
    <t>TIMES UNION CENTER OF PERFORMING</t>
  </si>
  <si>
    <t>ORGAN</t>
  </si>
  <si>
    <t>CITY HALL COUNTY COURTHOUSE ANNE</t>
  </si>
  <si>
    <t>FIRE &amp; RESCUE</t>
  </si>
  <si>
    <t>JAX HEALTH CENTER ADMIN BUILDING</t>
  </si>
  <si>
    <t>WEST BUILDING</t>
  </si>
  <si>
    <t>BALL PARK OF JACKSONVILLE</t>
  </si>
  <si>
    <t>SPORTS GARAGE</t>
  </si>
  <si>
    <t>BALLPARK OUTFIELD RESTROOMS</t>
  </si>
  <si>
    <t>ED BALL/GARAGE</t>
  </si>
  <si>
    <t>DUVAL UNIFIED COURTHOUSE</t>
  </si>
  <si>
    <t>PRE-ENGINEERED HOUSE</t>
  </si>
  <si>
    <t>PLAYGROUND RESTROOM</t>
  </si>
  <si>
    <t>NATURE CENTER RESTROOM</t>
  </si>
  <si>
    <t>NATURE CENTER PAVILION</t>
  </si>
  <si>
    <t>JSO TRAILER</t>
  </si>
  <si>
    <t>CONCESSION PRESSBOX</t>
  </si>
  <si>
    <t>COMMUNITY BUILDING</t>
  </si>
  <si>
    <t>CAMP MILTON CENTER</t>
  </si>
  <si>
    <t>BARN A</t>
  </si>
  <si>
    <t>BARN B</t>
  </si>
  <si>
    <t>BARN C</t>
  </si>
  <si>
    <t>BARN D</t>
  </si>
  <si>
    <t>PUMP FOUNTAIN CONTROLS</t>
  </si>
  <si>
    <t>OLD FEDERAL COURTHOUSE (UNDER RE</t>
  </si>
  <si>
    <t>HISTORICAL SOCEITY OFFICE</t>
  </si>
  <si>
    <t>600</t>
  </si>
  <si>
    <t>3RD STREET</t>
  </si>
  <si>
    <t>851</t>
  </si>
  <si>
    <t>NORTH MARKET STREET</t>
  </si>
  <si>
    <t>1701</t>
  </si>
  <si>
    <t>300</t>
  </si>
  <si>
    <t>WEST WATER STREET</t>
  </si>
  <si>
    <t>1000</t>
  </si>
  <si>
    <t>WEST BAY STREET</t>
  </si>
  <si>
    <t>1010</t>
  </si>
  <si>
    <t>EAST ADAMS STREET</t>
  </si>
  <si>
    <t>541</t>
  </si>
  <si>
    <t>220</t>
  </si>
  <si>
    <t>EAST BAY STREET</t>
  </si>
  <si>
    <t>330</t>
  </si>
  <si>
    <t>117</t>
  </si>
  <si>
    <t>515</t>
  </si>
  <si>
    <t>NORTH JULIA STREET</t>
  </si>
  <si>
    <t>WEST 6TH STREET</t>
  </si>
  <si>
    <t>610</t>
  </si>
  <si>
    <t>WEST OLIVER STREET</t>
  </si>
  <si>
    <t>1201</t>
  </si>
  <si>
    <t>EAST DUVAL STREET</t>
  </si>
  <si>
    <t>A PHILLIPS RANDOLPH BOULEVARD</t>
  </si>
  <si>
    <t>301</t>
  </si>
  <si>
    <t>214</t>
  </si>
  <si>
    <t>HOGAN STREET</t>
  </si>
  <si>
    <t>501</t>
  </si>
  <si>
    <t>WEST MONROE STREET</t>
  </si>
  <si>
    <t>8400</t>
  </si>
  <si>
    <t>SAN ARDO DRIVE</t>
  </si>
  <si>
    <t>1468</t>
  </si>
  <si>
    <t>HENDRICKS AVENUE</t>
  </si>
  <si>
    <t>7000</t>
  </si>
  <si>
    <t>ROOSEVELT BOULEVARD</t>
  </si>
  <si>
    <t>8435</t>
  </si>
  <si>
    <t>118TH STREET</t>
  </si>
  <si>
    <t>1175</t>
  </si>
  <si>
    <t>HALSEMA ROAD NORTH</t>
  </si>
  <si>
    <t>4531</t>
  </si>
  <si>
    <t>BESSIE CIRCLE WEST</t>
  </si>
  <si>
    <t>1697</t>
  </si>
  <si>
    <t>KINGS ROAD</t>
  </si>
  <si>
    <t>VICTORIA STREET</t>
  </si>
  <si>
    <t>901</t>
  </si>
  <si>
    <t>RIVERPLACE BOULEVARD</t>
  </si>
  <si>
    <t>1025</t>
  </si>
  <si>
    <t>MUSEUM CIRCLE</t>
  </si>
  <si>
    <t>COASTLINE DRIVE</t>
  </si>
  <si>
    <t>1015</t>
  </si>
  <si>
    <t>13611</t>
  </si>
  <si>
    <t>NORMANDY BOULEVARD</t>
  </si>
  <si>
    <t>255</t>
  </si>
  <si>
    <t>KING STREET</t>
  </si>
  <si>
    <t>311</t>
  </si>
  <si>
    <t>317</t>
  </si>
  <si>
    <t>A PHILLIPS RANDOLPH BOULEVAR</t>
  </si>
  <si>
    <t>303</t>
  </si>
  <si>
    <t>N 30-19-10.3</t>
  </si>
  <si>
    <t>W 081-23-53.1</t>
  </si>
  <si>
    <t>N 30-19-56.8</t>
  </si>
  <si>
    <t>W 081-39-07.3</t>
  </si>
  <si>
    <t>N 30-20-45.3</t>
  </si>
  <si>
    <t>W 081-40-31.0</t>
  </si>
  <si>
    <t>N 30-19-31.2</t>
  </si>
  <si>
    <t>W 081-39-45.1</t>
  </si>
  <si>
    <t>N 30-19-29.8</t>
  </si>
  <si>
    <t>W 081-39-43.1</t>
  </si>
  <si>
    <t>N 30-19-40.2</t>
  </si>
  <si>
    <t>W 081-40-16.1</t>
  </si>
  <si>
    <t>3B</t>
  </si>
  <si>
    <t>N 30-19-29.3</t>
  </si>
  <si>
    <t>W 081-38-41.9</t>
  </si>
  <si>
    <t>N 30-19-34.9</t>
  </si>
  <si>
    <t>W 081-39-52.9</t>
  </si>
  <si>
    <t>N 30-19-30.0</t>
  </si>
  <si>
    <t>W 081-39-18.1</t>
  </si>
  <si>
    <t>N 30-19-28.1</t>
  </si>
  <si>
    <t>W 081-39-13.3</t>
  </si>
  <si>
    <t>W 081-39-32.8</t>
  </si>
  <si>
    <t>W 081-39-37.4</t>
  </si>
  <si>
    <t>N 30-20-40.3</t>
  </si>
  <si>
    <t>W 081-39-43.0</t>
  </si>
  <si>
    <t>N 30-20-40.2</t>
  </si>
  <si>
    <t>W 081-39-43.5</t>
  </si>
  <si>
    <t>N 30-18-02.7</t>
  </si>
  <si>
    <t>W 081-58-48.9</t>
  </si>
  <si>
    <t>N 30-19-27.4</t>
  </si>
  <si>
    <t>W 081-38-18.7</t>
  </si>
  <si>
    <t>N 30-19-32.3</t>
  </si>
  <si>
    <t>W 081-38-39.2</t>
  </si>
  <si>
    <t>N 30-19-29.2</t>
  </si>
  <si>
    <t>W 081-38-36.8</t>
  </si>
  <si>
    <t>N 30-19-36.8</t>
  </si>
  <si>
    <t>W 081-38-39.9</t>
  </si>
  <si>
    <t>N 30-19-32.2</t>
  </si>
  <si>
    <t>W 081-38-31.5</t>
  </si>
  <si>
    <t>N 30-19-43.8</t>
  </si>
  <si>
    <t>W 081-39-36.6</t>
  </si>
  <si>
    <t>N 30-19-46.4</t>
  </si>
  <si>
    <t>W 081-39-48.7</t>
  </si>
  <si>
    <t>N 30-13-42.6</t>
  </si>
  <si>
    <t>W 081-36-24.3</t>
  </si>
  <si>
    <t>N 30-13-41.8</t>
  </si>
  <si>
    <t>W 081-36-23.1</t>
  </si>
  <si>
    <t>N 30-18-38.4</t>
  </si>
  <si>
    <t>W 081-39-17.6</t>
  </si>
  <si>
    <t>2B2</t>
  </si>
  <si>
    <t>N 30-14-18.8</t>
  </si>
  <si>
    <t>W 081-41-59.9</t>
  </si>
  <si>
    <t>W 081-42-00.8</t>
  </si>
  <si>
    <t>N 30-14-18.2</t>
  </si>
  <si>
    <t>W 081-41-59.5</t>
  </si>
  <si>
    <t>N 30-14-18.4</t>
  </si>
  <si>
    <t>N 30-14-01.7</t>
  </si>
  <si>
    <t>W 081-47-24.7</t>
  </si>
  <si>
    <t>N 30-14-09.7</t>
  </si>
  <si>
    <t>W 081-47-28.0</t>
  </si>
  <si>
    <t>N 30-20-09.9</t>
  </si>
  <si>
    <t>W 081-51-56.8</t>
  </si>
  <si>
    <t>N 30-21-59.8</t>
  </si>
  <si>
    <t>W 081-41-14.3</t>
  </si>
  <si>
    <t>N 30-20-39.2</t>
  </si>
  <si>
    <t>W 081-41-01.8</t>
  </si>
  <si>
    <t>N 30-19-35.6</t>
  </si>
  <si>
    <t>W 081-38-04.6</t>
  </si>
  <si>
    <t>2C1</t>
  </si>
  <si>
    <t>N 30-19-14.2</t>
  </si>
  <si>
    <t>W 081-39-29.8</t>
  </si>
  <si>
    <t>N 30-19-07.9</t>
  </si>
  <si>
    <t>W 081-39-36.4</t>
  </si>
  <si>
    <t>N 30-19-25.5</t>
  </si>
  <si>
    <t>W 081-39-23.3</t>
  </si>
  <si>
    <t>N 30-19-14.0</t>
  </si>
  <si>
    <t>W 081-39-32.6</t>
  </si>
  <si>
    <t>N 30-14-27.2</t>
  </si>
  <si>
    <t>W 081-54-26.3</t>
  </si>
  <si>
    <t>N 30-14-23.1</t>
  </si>
  <si>
    <t>W 081-54-22.8</t>
  </si>
  <si>
    <t>N 30-14-19.9</t>
  </si>
  <si>
    <t>W 081-54-29.2</t>
  </si>
  <si>
    <t>N 30-14-20.6</t>
  </si>
  <si>
    <t>W 081-54-32.1</t>
  </si>
  <si>
    <t>N 30-14-23.9</t>
  </si>
  <si>
    <t>W 081-54-34.6</t>
  </si>
  <si>
    <t>N 30-14-28.1</t>
  </si>
  <si>
    <t>W 081-54-12.2</t>
  </si>
  <si>
    <t>N 30-14-32.1</t>
  </si>
  <si>
    <t>W 081-54-06.6</t>
  </si>
  <si>
    <t>N 30-19-36.7</t>
  </si>
  <si>
    <t>W 081-41-47.9</t>
  </si>
  <si>
    <t>W 081-39-40.5</t>
  </si>
  <si>
    <t>W 081-38-35.9</t>
  </si>
  <si>
    <t>W 081-39-33.1</t>
  </si>
  <si>
    <t>BALDWIN</t>
  </si>
  <si>
    <t>NEPTUNE BEACH</t>
  </si>
  <si>
    <t>12/31/1986</t>
  </si>
  <si>
    <t>12/31/1908</t>
  </si>
  <si>
    <t>12/31/2000</t>
  </si>
  <si>
    <t>12/31/1963</t>
  </si>
  <si>
    <t>12/31/1919</t>
  </si>
  <si>
    <t>12/31/2004</t>
  </si>
  <si>
    <t>12/31/1977</t>
  </si>
  <si>
    <t>12/31/1960</t>
  </si>
  <si>
    <t>12/31/1956</t>
  </si>
  <si>
    <t>12/31/1912</t>
  </si>
  <si>
    <t>12/31/1952</t>
  </si>
  <si>
    <t>12/31/1972</t>
  </si>
  <si>
    <t>12/31/1995</t>
  </si>
  <si>
    <t>12/31/2003</t>
  </si>
  <si>
    <t>12/31/1961</t>
  </si>
  <si>
    <t>12/31/2012</t>
  </si>
  <si>
    <t>12/31/1915</t>
  </si>
  <si>
    <t>12/31/2011</t>
  </si>
  <si>
    <t>12/31/1940</t>
  </si>
  <si>
    <t>12/31/1998</t>
  </si>
  <si>
    <t>12/31/1985</t>
  </si>
  <si>
    <t>12/31/1988</t>
  </si>
  <si>
    <t>12/31/1987</t>
  </si>
  <si>
    <t>12/31/1910</t>
  </si>
  <si>
    <t>12/31/2005</t>
  </si>
  <si>
    <t>1118</t>
  </si>
  <si>
    <t>ANIMAL</t>
  </si>
  <si>
    <t>1822</t>
  </si>
  <si>
    <t>0198</t>
  </si>
  <si>
    <t>1619</t>
  </si>
  <si>
    <t>0999</t>
  </si>
  <si>
    <t>JBPR</t>
  </si>
  <si>
    <t>FS28</t>
  </si>
  <si>
    <t>1474</t>
  </si>
  <si>
    <t>SHAN</t>
  </si>
  <si>
    <t>0060</t>
  </si>
  <si>
    <t>0445</t>
  </si>
  <si>
    <t>0363</t>
  </si>
  <si>
    <t>0084</t>
  </si>
  <si>
    <t>0293</t>
  </si>
  <si>
    <t>0041</t>
  </si>
  <si>
    <t>0493</t>
  </si>
  <si>
    <t>0078</t>
  </si>
  <si>
    <t>0329</t>
  </si>
  <si>
    <t>0007</t>
  </si>
  <si>
    <t>0276</t>
  </si>
  <si>
    <t>0185</t>
  </si>
  <si>
    <t>0448</t>
  </si>
  <si>
    <t>0348</t>
  </si>
  <si>
    <t>0379</t>
  </si>
  <si>
    <t>0299</t>
  </si>
  <si>
    <t>0447</t>
  </si>
  <si>
    <t>0043</t>
  </si>
  <si>
    <t>0456</t>
  </si>
  <si>
    <t>0272</t>
  </si>
  <si>
    <t>0388</t>
  </si>
  <si>
    <t>0090</t>
  </si>
  <si>
    <t>0347</t>
  </si>
  <si>
    <t>0039</t>
  </si>
  <si>
    <t>0088</t>
  </si>
  <si>
    <t>0305</t>
  </si>
  <si>
    <t>0274</t>
  </si>
  <si>
    <t>0292</t>
  </si>
  <si>
    <t>0344</t>
  </si>
  <si>
    <t>0393</t>
  </si>
  <si>
    <t>0315</t>
  </si>
  <si>
    <t>0444</t>
  </si>
  <si>
    <t>0042</t>
  </si>
  <si>
    <t>0300</t>
  </si>
  <si>
    <t>0372</t>
  </si>
  <si>
    <t>0287</t>
  </si>
  <si>
    <t>0341</t>
  </si>
  <si>
    <t>0340</t>
  </si>
  <si>
    <t>0059</t>
  </si>
  <si>
    <t>JEA CREDIT UNION</t>
  </si>
  <si>
    <t>LANE WILEY SENIOR CENTER</t>
  </si>
  <si>
    <t>FLORIDA ARMY NATIONAL GUARD</t>
  </si>
  <si>
    <t>LAKE NEWMAN PARK</t>
  </si>
  <si>
    <t>0029</t>
  </si>
  <si>
    <t>0035</t>
  </si>
  <si>
    <t>0044</t>
  </si>
  <si>
    <t>0048</t>
  </si>
  <si>
    <t>0051</t>
  </si>
  <si>
    <t>0075</t>
  </si>
  <si>
    <t>0077</t>
  </si>
  <si>
    <t>0080</t>
  </si>
  <si>
    <t>0081</t>
  </si>
  <si>
    <t>0180</t>
  </si>
  <si>
    <t>0181</t>
  </si>
  <si>
    <t>0187</t>
  </si>
  <si>
    <t>0278</t>
  </si>
  <si>
    <t>0279</t>
  </si>
  <si>
    <t>0280</t>
  </si>
  <si>
    <t>0281</t>
  </si>
  <si>
    <t>0286</t>
  </si>
  <si>
    <t>0289</t>
  </si>
  <si>
    <t>0290</t>
  </si>
  <si>
    <t>0291</t>
  </si>
  <si>
    <t>0298</t>
  </si>
  <si>
    <t>0304</t>
  </si>
  <si>
    <t>0306</t>
  </si>
  <si>
    <t>0308</t>
  </si>
  <si>
    <t>0318</t>
  </si>
  <si>
    <t>0321</t>
  </si>
  <si>
    <t>0325</t>
  </si>
  <si>
    <t>0326</t>
  </si>
  <si>
    <t>0327</t>
  </si>
  <si>
    <t>0333</t>
  </si>
  <si>
    <t>0336</t>
  </si>
  <si>
    <t>0337</t>
  </si>
  <si>
    <t>0338</t>
  </si>
  <si>
    <t>0342</t>
  </si>
  <si>
    <t>0367</t>
  </si>
  <si>
    <t>0373</t>
  </si>
  <si>
    <t>0381</t>
  </si>
  <si>
    <t>0384</t>
  </si>
  <si>
    <t>0398</t>
  </si>
  <si>
    <t>0423</t>
  </si>
  <si>
    <t>0457</t>
  </si>
  <si>
    <t>0458</t>
  </si>
  <si>
    <t>0473</t>
  </si>
  <si>
    <t>0475</t>
  </si>
  <si>
    <t>1111</t>
  </si>
  <si>
    <t>1113</t>
  </si>
  <si>
    <t>1115</t>
  </si>
  <si>
    <t>1169</t>
  </si>
  <si>
    <t>1174</t>
  </si>
  <si>
    <t>1209</t>
  </si>
  <si>
    <t>1285</t>
  </si>
  <si>
    <t>1287</t>
  </si>
  <si>
    <t>1291</t>
  </si>
  <si>
    <t>1321</t>
  </si>
  <si>
    <t>1413</t>
  </si>
  <si>
    <t>1424</t>
  </si>
  <si>
    <t>1426</t>
  </si>
  <si>
    <t>1433</t>
  </si>
  <si>
    <t>1437</t>
  </si>
  <si>
    <t>1444</t>
  </si>
  <si>
    <t>1449</t>
  </si>
  <si>
    <t>1451</t>
  </si>
  <si>
    <t>1454</t>
  </si>
  <si>
    <t>1473</t>
  </si>
  <si>
    <t>1478</t>
  </si>
  <si>
    <t>1484</t>
  </si>
  <si>
    <t>1621</t>
  </si>
  <si>
    <t>1628</t>
  </si>
  <si>
    <t>1629</t>
  </si>
  <si>
    <t>1706</t>
  </si>
  <si>
    <t>1707</t>
  </si>
  <si>
    <t>2001</t>
  </si>
  <si>
    <t>2012</t>
  </si>
  <si>
    <t>2015</t>
  </si>
  <si>
    <t>2019</t>
  </si>
  <si>
    <t>2070</t>
  </si>
  <si>
    <t>2184</t>
  </si>
  <si>
    <t>2234</t>
  </si>
  <si>
    <t>2275</t>
  </si>
  <si>
    <t>2280</t>
  </si>
  <si>
    <t>2283</t>
  </si>
  <si>
    <t>FCRC</t>
  </si>
  <si>
    <t>MLGC</t>
  </si>
  <si>
    <t>MWYC</t>
  </si>
  <si>
    <t>NORW</t>
  </si>
  <si>
    <t>SULZ</t>
  </si>
  <si>
    <t>TAOJ</t>
  </si>
  <si>
    <t>LEASED TO LA ALPHA</t>
  </si>
  <si>
    <t>HAMMOND PARK COMMUNITY CENTER</t>
  </si>
  <si>
    <t>J S JOHNSON CENTER</t>
  </si>
  <si>
    <t>MARIETTA CENTER</t>
  </si>
  <si>
    <t>WOODLAND ACRES CENTER</t>
  </si>
  <si>
    <t>LACKAWANNA COMMUNITY CENTER</t>
  </si>
  <si>
    <t>BEVERLY HILLS COMMUNITY CENTER</t>
  </si>
  <si>
    <t>DINSMORE COMMUNITY CENTER</t>
  </si>
  <si>
    <t>DINSMORE PARK</t>
  </si>
  <si>
    <t>SCOTT PARK</t>
  </si>
  <si>
    <t>WESTSIDE COMMUNITY CENTER</t>
  </si>
  <si>
    <t>WOODSTOCK COMMUNITY CENTER</t>
  </si>
  <si>
    <t>MURRAY HILL ART CENTER</t>
  </si>
  <si>
    <t>LA VILLA RECREATION CENTER</t>
  </si>
  <si>
    <t>DREW FIELD</t>
  </si>
  <si>
    <t>JUSTINA PARK</t>
  </si>
  <si>
    <t>GREENLAND PARK</t>
  </si>
  <si>
    <t>YANCY PARK</t>
  </si>
  <si>
    <t>MURRAY HILL PARK</t>
  </si>
  <si>
    <t>BARNEY BROWNING PARK</t>
  </si>
  <si>
    <t>GRAND PARK</t>
  </si>
  <si>
    <t>CARVILL COMMUNITY CENTER</t>
  </si>
  <si>
    <t>JEFFERSON CENTER</t>
  </si>
  <si>
    <t>MALLISON PARK</t>
  </si>
  <si>
    <t>JOSEPH LEE COMMUNITY CENTER</t>
  </si>
  <si>
    <t>HAMMOND PARK</t>
  </si>
  <si>
    <t>103RD STREET SPORTS COMPLEX</t>
  </si>
  <si>
    <t>GLYNLEA PARK</t>
  </si>
  <si>
    <t>T. K.  STOKES PARK</t>
  </si>
  <si>
    <t>LAKE LUCINA</t>
  </si>
  <si>
    <t>MALLISON COMMUNITY CENTER</t>
  </si>
  <si>
    <t>RONDETTE PARK</t>
  </si>
  <si>
    <t>WHITEHOUSE PLAYGROUND</t>
  </si>
  <si>
    <t>RIVERVIEW COMMUNITY CENTER</t>
  </si>
  <si>
    <t>ARLINGTON LIONS CLUB PARK</t>
  </si>
  <si>
    <t>NORTHSHORE PICNIC SHELTER</t>
  </si>
  <si>
    <t>CHARLES CLARK PARK</t>
  </si>
  <si>
    <t>ANIMAL CARE AND PROTECTION</t>
  </si>
  <si>
    <t>FLORIDA THEATRE</t>
  </si>
  <si>
    <t>BLUE CYPRESS PARK</t>
  </si>
  <si>
    <t>GEORGE KERNS POOL</t>
  </si>
  <si>
    <t>ADOLPH WURN POOL</t>
  </si>
  <si>
    <t>CHARLES REESE MEMORIAL PARK</t>
  </si>
  <si>
    <t>FLETCHER PARK</t>
  </si>
  <si>
    <t>HARBORVIEW PARK</t>
  </si>
  <si>
    <t>LONNIE MILLER PARK</t>
  </si>
  <si>
    <t>VICTORIA PARK</t>
  </si>
  <si>
    <t>VICTORY PARK</t>
  </si>
  <si>
    <t>WARRINGTON PARK</t>
  </si>
  <si>
    <t>PRE-TRIAL SERVICES</t>
  </si>
  <si>
    <t>FACILITY 8</t>
  </si>
  <si>
    <t>CECIL FIELD PARK</t>
  </si>
  <si>
    <t>JSO MOUNTED/CANINE POLICE</t>
  </si>
  <si>
    <t>NORMAN STUDIOS</t>
  </si>
  <si>
    <t>SNYDER MEMORIAL BUILDING</t>
  </si>
  <si>
    <t>POLICE ANNEX</t>
  </si>
  <si>
    <t>NORWOOD CLINIC</t>
  </si>
  <si>
    <t>THE ARC OF JACKSONVILLE</t>
  </si>
  <si>
    <t>DAYCARE CENTER</t>
  </si>
  <si>
    <t>HEALTH ANNEX</t>
  </si>
  <si>
    <t>BUILDING A</t>
  </si>
  <si>
    <t>BUILDING B</t>
  </si>
  <si>
    <t>BUILDING C</t>
  </si>
  <si>
    <t>BUILDING D</t>
  </si>
  <si>
    <t>RECREATION CENTER</t>
  </si>
  <si>
    <t>CONCESSION STAND</t>
  </si>
  <si>
    <t>PUMPHOUSE</t>
  </si>
  <si>
    <t>POOL BUILDING</t>
  </si>
  <si>
    <t>SHELTER</t>
  </si>
  <si>
    <t>TRAILER</t>
  </si>
  <si>
    <t>JSO ANNEX AT 711 LIBERTY</t>
  </si>
  <si>
    <t>FORT CAROLINE CENTER</t>
  </si>
  <si>
    <t>PIER</t>
  </si>
  <si>
    <t>1225</t>
  </si>
  <si>
    <t>6943</t>
  </si>
  <si>
    <t>3312</t>
  </si>
  <si>
    <t>1112</t>
  </si>
  <si>
    <t>1078</t>
  </si>
  <si>
    <t>6710</t>
  </si>
  <si>
    <t>7866</t>
  </si>
  <si>
    <t>55</t>
  </si>
  <si>
    <t>5713</t>
  </si>
  <si>
    <t>1083</t>
  </si>
  <si>
    <t>8200</t>
  </si>
  <si>
    <t>5656</t>
  </si>
  <si>
    <t>9216</t>
  </si>
  <si>
    <t>418</t>
  </si>
  <si>
    <t>4046</t>
  </si>
  <si>
    <t>2340</t>
  </si>
  <si>
    <t>2133</t>
  </si>
  <si>
    <t>2940</t>
  </si>
  <si>
    <t>2304</t>
  </si>
  <si>
    <t>918</t>
  </si>
  <si>
    <t>6887</t>
  </si>
  <si>
    <t>1755</t>
  </si>
  <si>
    <t>6125</t>
  </si>
  <si>
    <t>7441</t>
  </si>
  <si>
    <t>451</t>
  </si>
  <si>
    <t>500</t>
  </si>
  <si>
    <t>4511</t>
  </si>
  <si>
    <t>7330</t>
  </si>
  <si>
    <t>2745</t>
  </si>
  <si>
    <t>3730</t>
  </si>
  <si>
    <t>1061</t>
  </si>
  <si>
    <t>2839</t>
  </si>
  <si>
    <t>4327</t>
  </si>
  <si>
    <t>1199</t>
  </si>
  <si>
    <t>1631</t>
  </si>
  <si>
    <t>6621</t>
  </si>
  <si>
    <t>6549</t>
  </si>
  <si>
    <t>3143</t>
  </si>
  <si>
    <t>11808</t>
  </si>
  <si>
    <t>3352</t>
  </si>
  <si>
    <t>320</t>
  </si>
  <si>
    <t>5919</t>
  </si>
  <si>
    <t>4208</t>
  </si>
  <si>
    <t>6014</t>
  </si>
  <si>
    <t>2500</t>
  </si>
  <si>
    <t>1302</t>
  </si>
  <si>
    <t>2039</t>
  </si>
  <si>
    <t>4575</t>
  </si>
  <si>
    <t>1358</t>
  </si>
  <si>
    <t>3133</t>
  </si>
  <si>
    <t>13500</t>
  </si>
  <si>
    <t>4203</t>
  </si>
  <si>
    <t>5120</t>
  </si>
  <si>
    <t>3300</t>
  </si>
  <si>
    <t>6912</t>
  </si>
  <si>
    <t>2142</t>
  </si>
  <si>
    <t>10244</t>
  </si>
  <si>
    <t>6801</t>
  </si>
  <si>
    <t>2120</t>
  </si>
  <si>
    <t>6527</t>
  </si>
  <si>
    <t>3500</t>
  </si>
  <si>
    <t>11100</t>
  </si>
  <si>
    <t>9620</t>
  </si>
  <si>
    <t>4322</t>
  </si>
  <si>
    <t>7901</t>
  </si>
  <si>
    <t>8793</t>
  </si>
  <si>
    <t>2580</t>
  </si>
  <si>
    <t>2436</t>
  </si>
  <si>
    <t>4242</t>
  </si>
  <si>
    <t>1072</t>
  </si>
  <si>
    <t>1443</t>
  </si>
  <si>
    <t>2032</t>
  </si>
  <si>
    <t>5323</t>
  </si>
  <si>
    <t>9247</t>
  </si>
  <si>
    <t>7443</t>
  </si>
  <si>
    <t>8179</t>
  </si>
  <si>
    <t>10800</t>
  </si>
  <si>
    <t>2936</t>
  </si>
  <si>
    <t>12701</t>
  </si>
  <si>
    <t>4220</t>
  </si>
  <si>
    <t>231</t>
  </si>
  <si>
    <t>13851</t>
  </si>
  <si>
    <t>128</t>
  </si>
  <si>
    <t>1314</t>
  </si>
  <si>
    <t>980</t>
  </si>
  <si>
    <t>6241</t>
  </si>
  <si>
    <t>4767</t>
  </si>
  <si>
    <t>8650</t>
  </si>
  <si>
    <t>4012</t>
  </si>
  <si>
    <t>1805</t>
  </si>
  <si>
    <t>6709</t>
  </si>
  <si>
    <t>1200</t>
  </si>
  <si>
    <t>1139</t>
  </si>
  <si>
    <t>1652</t>
  </si>
  <si>
    <t>4100</t>
  </si>
  <si>
    <t>6367</t>
  </si>
  <si>
    <t>4717</t>
  </si>
  <si>
    <t>7689</t>
  </si>
  <si>
    <t>2948</t>
  </si>
  <si>
    <t>3781</t>
  </si>
  <si>
    <t>328</t>
  </si>
  <si>
    <t>535</t>
  </si>
  <si>
    <t>6201</t>
  </si>
  <si>
    <t>6219</t>
  </si>
  <si>
    <t>6134</t>
  </si>
  <si>
    <t>6206</t>
  </si>
  <si>
    <t>6146</t>
  </si>
  <si>
    <t>13433</t>
  </si>
  <si>
    <t>1076</t>
  </si>
  <si>
    <t>3435</t>
  </si>
  <si>
    <t>6337</t>
  </si>
  <si>
    <t>9611</t>
  </si>
  <si>
    <t>11785</t>
  </si>
  <si>
    <t>2020</t>
  </si>
  <si>
    <t>9200</t>
  </si>
  <si>
    <t>5527</t>
  </si>
  <si>
    <t>503</t>
  </si>
  <si>
    <t>6974</t>
  </si>
  <si>
    <t>1096</t>
  </si>
  <si>
    <t>5701</t>
  </si>
  <si>
    <t>2119</t>
  </si>
  <si>
    <t>611</t>
  </si>
  <si>
    <t>1050</t>
  </si>
  <si>
    <t>INDEPENDENT SQUARE</t>
  </si>
  <si>
    <t>WEST 29TH STREET</t>
  </si>
  <si>
    <t>BUFFALO AVENUE</t>
  </si>
  <si>
    <t>WEST 12TH STREET</t>
  </si>
  <si>
    <t>JACKSON STREET</t>
  </si>
  <si>
    <t>ROGERO ROAD</t>
  </si>
  <si>
    <t>WILEY ROAD</t>
  </si>
  <si>
    <t>NEW KINGS ROAD</t>
  </si>
  <si>
    <t>JACKSON AVENUE</t>
  </si>
  <si>
    <t>TEELER AVENUE</t>
  </si>
  <si>
    <t>LINE STREET</t>
  </si>
  <si>
    <t>KONA AVENUE</t>
  </si>
  <si>
    <t>DUNMIRE AVENUE</t>
  </si>
  <si>
    <t>1ST AVENUE</t>
  </si>
  <si>
    <t>STOCKTON STREET</t>
  </si>
  <si>
    <t>NOLAN STREET</t>
  </si>
  <si>
    <t>ACME STREET</t>
  </si>
  <si>
    <t>BROADWAY AVENUE</t>
  </si>
  <si>
    <t>MAUDE ROAD</t>
  </si>
  <si>
    <t>NORTH MYRTLE AVENUE</t>
  </si>
  <si>
    <t>EDGEWOOD AVENUE SOUTH</t>
  </si>
  <si>
    <t>103RD STREET</t>
  </si>
  <si>
    <t>EDGEWOOD AVENUE WEST</t>
  </si>
  <si>
    <t>AUTHORITY AVENUE</t>
  </si>
  <si>
    <t>WILSON BOULEVARD</t>
  </si>
  <si>
    <t>CATHRINE STREET</t>
  </si>
  <si>
    <t>ACORN STREET</t>
  </si>
  <si>
    <t>PORTSMOUTH AVENUE</t>
  </si>
  <si>
    <t>CIVIC CLUB DRIVE</t>
  </si>
  <si>
    <t>HAMILTON CIRCLE</t>
  </si>
  <si>
    <t>MONCRIED ROAD</t>
  </si>
  <si>
    <t>GARFIELD ROAD</t>
  </si>
  <si>
    <t>BEAVER STREET</t>
  </si>
  <si>
    <t>KERLE STREET</t>
  </si>
  <si>
    <t>WEST CHURCH STREET</t>
  </si>
  <si>
    <t>HURST PLACE</t>
  </si>
  <si>
    <t>SOUTH BARNES ROAD</t>
  </si>
  <si>
    <t>ARLINGTON ROAD</t>
  </si>
  <si>
    <t>JUSTINA ROAD</t>
  </si>
  <si>
    <t>FAYAL ROAD</t>
  </si>
  <si>
    <t>SOUTEL DRIVE</t>
  </si>
  <si>
    <t>KINGSBURY STREET</t>
  </si>
  <si>
    <t>NORWOOD AVENUE</t>
  </si>
  <si>
    <t>WEST 20TH STREET</t>
  </si>
  <si>
    <t>CARVILL AVENUE</t>
  </si>
  <si>
    <t>MONCRIEF ROAD</t>
  </si>
  <si>
    <t>JEFFERSON STREET</t>
  </si>
  <si>
    <t>LENOX AVENUE</t>
  </si>
  <si>
    <t>KENNDLE DRIVE</t>
  </si>
  <si>
    <t>PERRY STREET</t>
  </si>
  <si>
    <t>JONES STREET</t>
  </si>
  <si>
    <t>MELSON AVENUE</t>
  </si>
  <si>
    <t>ALTAMA ROAD</t>
  </si>
  <si>
    <t>RIVERVIEW STREET</t>
  </si>
  <si>
    <t>MERRILL ROAD</t>
  </si>
  <si>
    <t>RONDETTE LAKE ROAD</t>
  </si>
  <si>
    <t>GENERAL AVENUE</t>
  </si>
  <si>
    <t>WATER STREET</t>
  </si>
  <si>
    <t>RICHARD D GATLIN</t>
  </si>
  <si>
    <t>PEARL STREET</t>
  </si>
  <si>
    <t>SIBBALD ROAD</t>
  </si>
  <si>
    <t>HUFFINGHAM ROAD</t>
  </si>
  <si>
    <t>JAMMES ROAD</t>
  </si>
  <si>
    <t>ORTEGA BOULEVARD</t>
  </si>
  <si>
    <t>FORT CAROLINE ROAD</t>
  </si>
  <si>
    <t>HAMMOND BOULEVARD</t>
  </si>
  <si>
    <t>BEACH BOULEVARD</t>
  </si>
  <si>
    <t>JONES ROAD</t>
  </si>
  <si>
    <t>LAKE NEWMAN STREET</t>
  </si>
  <si>
    <t>EAST FORSYTH STREET</t>
  </si>
  <si>
    <t>WEST UNION STREET</t>
  </si>
  <si>
    <t>ROSSELLE STREET</t>
  </si>
  <si>
    <t>UNIVERSITY BOULEVARD NORTH</t>
  </si>
  <si>
    <t>NEWTON ROAD</t>
  </si>
  <si>
    <t>UNIVERSITY BOULEVARD</t>
  </si>
  <si>
    <t>FLAG STREET</t>
  </si>
  <si>
    <t>DEAN ROAD</t>
  </si>
  <si>
    <t>WATOMA STREET</t>
  </si>
  <si>
    <t>CESERY BOULEVARD</t>
  </si>
  <si>
    <t>KEN KNIGHT DRIVE</t>
  </si>
  <si>
    <t>HARBOR VIEW DRIVE</t>
  </si>
  <si>
    <t>MOCKINGBIRD ROAD</t>
  </si>
  <si>
    <t>WESCONNETT BOULEVARD</t>
  </si>
  <si>
    <t>PRINCE LANE</t>
  </si>
  <si>
    <t>RICHARDSON ROAD</t>
  </si>
  <si>
    <t>ESTHER STREET</t>
  </si>
  <si>
    <t>KNIGHTS LANE</t>
  </si>
  <si>
    <t>UNIVERSITY CLUB BOULEVARD</t>
  </si>
  <si>
    <t>NORTH BOWLAN STREET</t>
  </si>
  <si>
    <t>NORTH WASHINGTON STREET</t>
  </si>
  <si>
    <t>CARGO HOLD AVENUE</t>
  </si>
  <si>
    <t>LAKE FRETWELL STREET</t>
  </si>
  <si>
    <t>AVIATION AVENUE</t>
  </si>
  <si>
    <t>CROSSOVER STREET</t>
  </si>
  <si>
    <t>SAN JUAN AVENUE</t>
  </si>
  <si>
    <t>HAINES STREET</t>
  </si>
  <si>
    <t>SUNBREAM CENTER DRIVE</t>
  </si>
  <si>
    <t>WEST BEAVER STREET</t>
  </si>
  <si>
    <t>FERBER ROAD</t>
  </si>
  <si>
    <t>HOGAN ROAD</t>
  </si>
  <si>
    <t>NORTH 1ST STREET</t>
  </si>
  <si>
    <t>6TH STREET</t>
  </si>
  <si>
    <t>CASTELLANO AVENUE</t>
  </si>
  <si>
    <t>NORTH DAVIS STREET</t>
  </si>
  <si>
    <t>32221</t>
  </si>
  <si>
    <t>N 30-19-31.5</t>
  </si>
  <si>
    <t>W 081-39-28.0</t>
  </si>
  <si>
    <t>N 30-22-59.6</t>
  </si>
  <si>
    <t>N 30-21-44.6</t>
  </si>
  <si>
    <t>W 081-40-26.9</t>
  </si>
  <si>
    <t>N 30-21-01.7</t>
  </si>
  <si>
    <t>N 30-21-00.3</t>
  </si>
  <si>
    <t>W 081-43-30.4</t>
  </si>
  <si>
    <t>W 081-40-28.1</t>
  </si>
  <si>
    <t>N 30-19-52.9</t>
  </si>
  <si>
    <t>W 081-35-22.1</t>
  </si>
  <si>
    <t>N 30-16-44.0</t>
  </si>
  <si>
    <t>W 081-45-21.0</t>
  </si>
  <si>
    <t>N 30-23-43.9</t>
  </si>
  <si>
    <t>W 081-44-20.1</t>
  </si>
  <si>
    <t>N 30-19-25.1</t>
  </si>
  <si>
    <t>W 081-47-09.0</t>
  </si>
  <si>
    <t>W 081-41-10.3</t>
  </si>
  <si>
    <t>W 081-41-49.1</t>
  </si>
  <si>
    <t>N 30-19-19.5</t>
  </si>
  <si>
    <t>W 081-34-22.2</t>
  </si>
  <si>
    <t>W 081-44-06.1</t>
  </si>
  <si>
    <t>N 30-24-28.6</t>
  </si>
  <si>
    <t>N 30-19-26.6</t>
  </si>
  <si>
    <t>W 081-41-30.3</t>
  </si>
  <si>
    <t>N 30-19-26.0</t>
  </si>
  <si>
    <t>W 081-43-06.9</t>
  </si>
  <si>
    <t>N 30-21-06.6</t>
  </si>
  <si>
    <t>W 081-42-06.0</t>
  </si>
  <si>
    <t>N 30-19-56.5</t>
  </si>
  <si>
    <t>W 081-43-16.4</t>
  </si>
  <si>
    <t>N 30-21-34.9</t>
  </si>
  <si>
    <t>W 081-45-00.4</t>
  </si>
  <si>
    <t>N 30-21-06.2</t>
  </si>
  <si>
    <t>N 30-14-54.8</t>
  </si>
  <si>
    <t>W 081-45-25.0</t>
  </si>
  <si>
    <t>N 30-18-47.2</t>
  </si>
  <si>
    <t>W 081-43-09.6</t>
  </si>
  <si>
    <t>N 30-23-13.8</t>
  </si>
  <si>
    <t>W 081-41-10.4</t>
  </si>
  <si>
    <t>N 30-13-47.9</t>
  </si>
  <si>
    <t>W 081-53-14.1</t>
  </si>
  <si>
    <t>N 30-16-12.2</t>
  </si>
  <si>
    <t>N 30-19-39.9</t>
  </si>
  <si>
    <t>W 081-38-57.8</t>
  </si>
  <si>
    <t>W 081-38-55.2</t>
  </si>
  <si>
    <t>N 30-19-41.5</t>
  </si>
  <si>
    <t>W 081-38-57.2</t>
  </si>
  <si>
    <t>N 30-19-42.1</t>
  </si>
  <si>
    <t>W 081-38-55.4</t>
  </si>
  <si>
    <t>N 30-19-32.1</t>
  </si>
  <si>
    <t>W 081-39-01.6</t>
  </si>
  <si>
    <t>N 30-20-20.1</t>
  </si>
  <si>
    <t>W 081-41-11.2</t>
  </si>
  <si>
    <t>N 30-24-28.4</t>
  </si>
  <si>
    <t>W 081-43-03.8</t>
  </si>
  <si>
    <t>N 30-25-29.1</t>
  </si>
  <si>
    <t>W 081-46-08.8</t>
  </si>
  <si>
    <t>N 30-25-27.9</t>
  </si>
  <si>
    <t>W 081-46-10.2</t>
  </si>
  <si>
    <t>W 081-46-07.2</t>
  </si>
  <si>
    <t>N 30-22-01.9</t>
  </si>
  <si>
    <t>W 081-42-43.6</t>
  </si>
  <si>
    <t>N 30-22-02.3</t>
  </si>
  <si>
    <t>W 081-42-43.9</t>
  </si>
  <si>
    <t>N 30-21-41.1</t>
  </si>
  <si>
    <t>W 081-40-39.6</t>
  </si>
  <si>
    <t>N 30-20-06.4</t>
  </si>
  <si>
    <t>W 081-42-15.9</t>
  </si>
  <si>
    <t>W 081-41-49.3</t>
  </si>
  <si>
    <t>W 081-42-54.2</t>
  </si>
  <si>
    <t>N 30-18-42.4</t>
  </si>
  <si>
    <t>W 081-43-18.3</t>
  </si>
  <si>
    <t>N 30-21-03.5</t>
  </si>
  <si>
    <t>W 081-40-59.4</t>
  </si>
  <si>
    <t>N 30-20-00.7</t>
  </si>
  <si>
    <t>N 30-16-17.1</t>
  </si>
  <si>
    <t>W 081-35-34.3</t>
  </si>
  <si>
    <t>N 30-16-19.6</t>
  </si>
  <si>
    <t>W 081-35-37.7</t>
  </si>
  <si>
    <t>N 30-20-03.1</t>
  </si>
  <si>
    <t>W 081-35-27.6</t>
  </si>
  <si>
    <t>N 30-21-25.3</t>
  </si>
  <si>
    <t>W 081-36-01.3</t>
  </si>
  <si>
    <t>N 30-21-24.8</t>
  </si>
  <si>
    <t>W 081-36-00.4</t>
  </si>
  <si>
    <t>W 081-32-34.6</t>
  </si>
  <si>
    <t>N 30-24-19.7</t>
  </si>
  <si>
    <t>W 081-42-12.3</t>
  </si>
  <si>
    <t>N 30-24-20.2</t>
  </si>
  <si>
    <t>W 081-43-12.5</t>
  </si>
  <si>
    <t>N 30-19-38.7</t>
  </si>
  <si>
    <t>W 081-47-21.7</t>
  </si>
  <si>
    <t>N 30-19-37.9</t>
  </si>
  <si>
    <t>W 081-47-22.3</t>
  </si>
  <si>
    <t>N 30-19-34.2</t>
  </si>
  <si>
    <t>W 081-38-36.1</t>
  </si>
  <si>
    <t>N 30-14-48.9</t>
  </si>
  <si>
    <t>W 081-46-35.9</t>
  </si>
  <si>
    <t>3A6</t>
  </si>
  <si>
    <t>N 30-20-18.5</t>
  </si>
  <si>
    <t>W 081-40-35.9</t>
  </si>
  <si>
    <t>N 30-21-42.9</t>
  </si>
  <si>
    <t>W 081-36-16.9</t>
  </si>
  <si>
    <t>N 30-22-56.5</t>
  </si>
  <si>
    <t>W 081-38-32.9</t>
  </si>
  <si>
    <t>W 081-38-33.5</t>
  </si>
  <si>
    <t>N 30-23-47.8</t>
  </si>
  <si>
    <t>N 30-23-49.1</t>
  </si>
  <si>
    <t>W 081-42-39.7</t>
  </si>
  <si>
    <t>N 30-23-23.0</t>
  </si>
  <si>
    <t>N 30-22-37.0</t>
  </si>
  <si>
    <t>W 081-39-22.6</t>
  </si>
  <si>
    <t>N 30-19-51.4</t>
  </si>
  <si>
    <t>W 081-35-22.0</t>
  </si>
  <si>
    <t>N 30-21-08.9</t>
  </si>
  <si>
    <t>W 081-35-14.3</t>
  </si>
  <si>
    <t>N 30-21-07.6</t>
  </si>
  <si>
    <t>W 081-35-09.9</t>
  </si>
  <si>
    <t>N 30-22-15.5</t>
  </si>
  <si>
    <t>W 081-39-28.1</t>
  </si>
  <si>
    <t>N 30-24-05.3</t>
  </si>
  <si>
    <t>W 081-42-51.3</t>
  </si>
  <si>
    <t>N 30-20-52.2</t>
  </si>
  <si>
    <t>W 081-41-42.3</t>
  </si>
  <si>
    <t>W 081-40-35.3</t>
  </si>
  <si>
    <t>N 30-20-02.3</t>
  </si>
  <si>
    <t>W 081-40-01.2</t>
  </si>
  <si>
    <t>N 30-16-08.0</t>
  </si>
  <si>
    <t>W 081-45-35.1</t>
  </si>
  <si>
    <t>N 30-15-32.1</t>
  </si>
  <si>
    <t>W 081-45-12.6</t>
  </si>
  <si>
    <t>N 30-22-28.2</t>
  </si>
  <si>
    <t>N 30-20-43.7</t>
  </si>
  <si>
    <t>W 081-40-14.8</t>
  </si>
  <si>
    <t>N 30-20-40.8</t>
  </si>
  <si>
    <t>W 081-40-15.5</t>
  </si>
  <si>
    <t>N 30-22-35.5</t>
  </si>
  <si>
    <t>W 081-41-08.7</t>
  </si>
  <si>
    <t>N 30-19-46.2</t>
  </si>
  <si>
    <t>W 081-39-26.4</t>
  </si>
  <si>
    <t>N 30-23-55.7</t>
  </si>
  <si>
    <t>W 081-43-46.1</t>
  </si>
  <si>
    <t>N 30-23-53.9</t>
  </si>
  <si>
    <t>W 081-43-44.3</t>
  </si>
  <si>
    <t>N 30-23-53.6</t>
  </si>
  <si>
    <t>W 081-43-44.9</t>
  </si>
  <si>
    <t>N 30-23-52.1</t>
  </si>
  <si>
    <t>W 081-43-44.8</t>
  </si>
  <si>
    <t>N 30-23-52.2</t>
  </si>
  <si>
    <t>W 081-43-46.4</t>
  </si>
  <si>
    <t>N 30-22-07.2</t>
  </si>
  <si>
    <t>W 081-40-53.7</t>
  </si>
  <si>
    <t>N 30-22-02.1</t>
  </si>
  <si>
    <t>W 081-40-49.6</t>
  </si>
  <si>
    <t>N 30-21-58.9</t>
  </si>
  <si>
    <t>W 081-40-48.4</t>
  </si>
  <si>
    <t>N 30-21-57.7</t>
  </si>
  <si>
    <t>W 081-40-47.4</t>
  </si>
  <si>
    <t>N 30-23-19.3</t>
  </si>
  <si>
    <t>W 081-44-47.8</t>
  </si>
  <si>
    <t>W 081-51-40.1</t>
  </si>
  <si>
    <t>N 30-19-51.9</t>
  </si>
  <si>
    <t>W 081-42-54.6</t>
  </si>
  <si>
    <t>N 30-19-20.5</t>
  </si>
  <si>
    <t>N 30-19-21.7</t>
  </si>
  <si>
    <t>2B3</t>
  </si>
  <si>
    <t>N 30-19-21.6</t>
  </si>
  <si>
    <t>W 081-42-31.6</t>
  </si>
  <si>
    <t>N 30-22-30.5</t>
  </si>
  <si>
    <t>W 081-40-01.7</t>
  </si>
  <si>
    <t>N 30-18-30.4</t>
  </si>
  <si>
    <t>W 081-53-42.2</t>
  </si>
  <si>
    <t>N 30-18-44.7</t>
  </si>
  <si>
    <t>W 081-50-48.1</t>
  </si>
  <si>
    <t>N 30-18-43.8</t>
  </si>
  <si>
    <t>W 081-50-47.7</t>
  </si>
  <si>
    <t>N 30-19-08.1</t>
  </si>
  <si>
    <t>W 081-47-08.3</t>
  </si>
  <si>
    <t>N 30-21-31.3</t>
  </si>
  <si>
    <t>W 081-38-01.3</t>
  </si>
  <si>
    <t>W 081-41-15.1</t>
  </si>
  <si>
    <t>N 30-22-21.1</t>
  </si>
  <si>
    <t>W 081-48-25.9</t>
  </si>
  <si>
    <t>N 30-17-37.8</t>
  </si>
  <si>
    <t>W 081-23-08.3</t>
  </si>
  <si>
    <t>N 30-19-12.7</t>
  </si>
  <si>
    <t>W 081-41-13.3</t>
  </si>
  <si>
    <t>N 30-24-51.6</t>
  </si>
  <si>
    <t>W 081-41-19.5</t>
  </si>
  <si>
    <t>N 30-22-00.7</t>
  </si>
  <si>
    <t>W 081-35-38.2</t>
  </si>
  <si>
    <t>N 30-18-21.9</t>
  </si>
  <si>
    <t>W 081-43-10.1</t>
  </si>
  <si>
    <t>N 30-18-18.2</t>
  </si>
  <si>
    <t>W 081-43-09.5</t>
  </si>
  <si>
    <t>N 30-18-22.4</t>
  </si>
  <si>
    <t>W 081-43-07.9</t>
  </si>
  <si>
    <t>N 30-17-01.8</t>
  </si>
  <si>
    <t>W 081-35-27.4</t>
  </si>
  <si>
    <t>N 30-16-59.9</t>
  </si>
  <si>
    <t>N 30-20-16.4</t>
  </si>
  <si>
    <t>W 081-40-01.9</t>
  </si>
  <si>
    <t>N 30-23-49.3</t>
  </si>
  <si>
    <t>W 081-41-05.4</t>
  </si>
  <si>
    <t>N 30-22-30.4</t>
  </si>
  <si>
    <t>W 081-35-11.7</t>
  </si>
  <si>
    <t>N 30-19-37.3</t>
  </si>
  <si>
    <t>W 081-38-57.4</t>
  </si>
  <si>
    <t>N 30-19-37.0</t>
  </si>
  <si>
    <t>W 081-38-55.9</t>
  </si>
  <si>
    <t>N 30-19-34.5</t>
  </si>
  <si>
    <t>W 081-38-59.0</t>
  </si>
  <si>
    <t>N 30-25-48.8</t>
  </si>
  <si>
    <t>W 081-45-34.2</t>
  </si>
  <si>
    <t>N 30-23-32.4</t>
  </si>
  <si>
    <t>W 081-43-08.6</t>
  </si>
  <si>
    <t>N 30-22-55.1</t>
  </si>
  <si>
    <t>N 30-20-37.1</t>
  </si>
  <si>
    <t>W 081-40-15.8</t>
  </si>
  <si>
    <t>N 30-22-53.5</t>
  </si>
  <si>
    <t>W 081-40-29.0</t>
  </si>
  <si>
    <t>N 30-22-51.7</t>
  </si>
  <si>
    <t>W 081-40-27.8</t>
  </si>
  <si>
    <t>N 30-22-51.6</t>
  </si>
  <si>
    <t>W 081-40-28.7</t>
  </si>
  <si>
    <t>N 30-21-08.3</t>
  </si>
  <si>
    <t>W 081-42-05.5</t>
  </si>
  <si>
    <t>N 30-21-20.3</t>
  </si>
  <si>
    <t>N 30-21-18.2</t>
  </si>
  <si>
    <t>W 081-42-06.8</t>
  </si>
  <si>
    <t>N 30-21-19.8</t>
  </si>
  <si>
    <t>W 081-42-05.9</t>
  </si>
  <si>
    <t>N 30-21-18.1</t>
  </si>
  <si>
    <t>W 081-42-11.2</t>
  </si>
  <si>
    <t>N 30-20-28.9</t>
  </si>
  <si>
    <t>W 081-39-48.1</t>
  </si>
  <si>
    <t>N 30-15-58.7</t>
  </si>
  <si>
    <t>W 081-45-52.7</t>
  </si>
  <si>
    <t>N 30-20-55.2</t>
  </si>
  <si>
    <t>W 081-35-46.8</t>
  </si>
  <si>
    <t>N 30-16-54.0</t>
  </si>
  <si>
    <t>W 081-44-21.6</t>
  </si>
  <si>
    <t>N 30-21-43.3</t>
  </si>
  <si>
    <t>W 081-33-58.8</t>
  </si>
  <si>
    <t>N 30-21-43.6</t>
  </si>
  <si>
    <t>N 30-19-20.7</t>
  </si>
  <si>
    <t>W 081-34-19.6</t>
  </si>
  <si>
    <t>12/31/999</t>
  </si>
  <si>
    <t>N 30-13-24.5</t>
  </si>
  <si>
    <t>W 081-53-02.0</t>
  </si>
  <si>
    <t>N 30-13-25.6</t>
  </si>
  <si>
    <t>W 081-53-03.1</t>
  </si>
  <si>
    <t>N 30-13-43.5</t>
  </si>
  <si>
    <t>W 081-53-15.2</t>
  </si>
  <si>
    <t>N 30-13-42.4</t>
  </si>
  <si>
    <t>W 081-53-15.9</t>
  </si>
  <si>
    <t>N 30-13-33.8</t>
  </si>
  <si>
    <t>W 081-53-15.6</t>
  </si>
  <si>
    <t>N 30-13-30.9</t>
  </si>
  <si>
    <t>W 081-53-05.8</t>
  </si>
  <si>
    <t>N 30-13-28.7</t>
  </si>
  <si>
    <t>W 081-53-01.5</t>
  </si>
  <si>
    <t>N 30-13-26.7</t>
  </si>
  <si>
    <t>W 081-53-02.9</t>
  </si>
  <si>
    <t>N 30-13-25.4</t>
  </si>
  <si>
    <t>W 081-53-48.4</t>
  </si>
  <si>
    <t>N 30-13-59.4</t>
  </si>
  <si>
    <t>W 081-54-06.7</t>
  </si>
  <si>
    <t>N 30-22-38.2</t>
  </si>
  <si>
    <t>W 081-37-05.9</t>
  </si>
  <si>
    <t>N 30-20-54.8</t>
  </si>
  <si>
    <t>W 081-43-24.9</t>
  </si>
  <si>
    <t>N 30-20-59.9</t>
  </si>
  <si>
    <t>W 081-43-26.4</t>
  </si>
  <si>
    <t>N 30-17-41.4</t>
  </si>
  <si>
    <t>W 081-36-01.2</t>
  </si>
  <si>
    <t>N 30-18-19.1</t>
  </si>
  <si>
    <t>W 081-35-09.2</t>
  </si>
  <si>
    <t>N 30-16-17.6</t>
  </si>
  <si>
    <t>W 081-35-50.8</t>
  </si>
  <si>
    <t>N 30-16-18.2</t>
  </si>
  <si>
    <t>W 081-35-50.2</t>
  </si>
  <si>
    <t>N 30-19-20.1</t>
  </si>
  <si>
    <t>W 081-34-13.3</t>
  </si>
  <si>
    <t>N 30-19-20.4</t>
  </si>
  <si>
    <t>W 081-34-11.9</t>
  </si>
  <si>
    <t>N 30-20-05.8</t>
  </si>
  <si>
    <t>W 081-39-21.2</t>
  </si>
  <si>
    <t>N 30-19-35.1</t>
  </si>
  <si>
    <t>W 081-39-20.3</t>
  </si>
  <si>
    <t>3B3</t>
  </si>
  <si>
    <t>N 30-19-37.1</t>
  </si>
  <si>
    <t>W 081-39-16.3</t>
  </si>
  <si>
    <t>N 30-19-35.2</t>
  </si>
  <si>
    <t>W 081-39-16.9</t>
  </si>
  <si>
    <t>N 30-19-28.6</t>
  </si>
  <si>
    <t>W 081-40-59.6</t>
  </si>
  <si>
    <t>N 30-19-26.2</t>
  </si>
  <si>
    <t>W 081-40-59.5</t>
  </si>
  <si>
    <t>N 30-19-50.1</t>
  </si>
  <si>
    <t>W 081-39-03.5</t>
  </si>
  <si>
    <t>3A3</t>
  </si>
  <si>
    <t>N 30-19-55.8</t>
  </si>
  <si>
    <t>W 081-38-09.8</t>
  </si>
  <si>
    <t>N 30-19-55.3</t>
  </si>
  <si>
    <t>W 081-40-15.3</t>
  </si>
  <si>
    <t>N 30-19-45.7</t>
  </si>
  <si>
    <t>W 081-39-00.6</t>
  </si>
  <si>
    <t>N 30-19-43.1</t>
  </si>
  <si>
    <t>W 081-39-32.5</t>
  </si>
  <si>
    <t>N 30-15-03.5</t>
  </si>
  <si>
    <t>W 081-41-51.1</t>
  </si>
  <si>
    <t>N 30-22-28.0</t>
  </si>
  <si>
    <t>W 081-36-27.4</t>
  </si>
  <si>
    <t>N 30-22-34.9</t>
  </si>
  <si>
    <t>N 30-22-28.7</t>
  </si>
  <si>
    <t>N 30-20-23.9</t>
  </si>
  <si>
    <t>N 30-17-21.6</t>
  </si>
  <si>
    <t>W 081-29-01.8</t>
  </si>
  <si>
    <t>N 30-17-35.7</t>
  </si>
  <si>
    <t>W 081-23-21.3</t>
  </si>
  <si>
    <t>N 30-16-31.2</t>
  </si>
  <si>
    <t>W 081-33-43.7</t>
  </si>
  <si>
    <t>N 30-16-24.5</t>
  </si>
  <si>
    <t>W 081-33-43.2</t>
  </si>
  <si>
    <t>N 30-12-10.3</t>
  </si>
  <si>
    <t>W 081-34-52.0</t>
  </si>
  <si>
    <t>N 30-18-19.4</t>
  </si>
  <si>
    <t>W 081-39-00.9</t>
  </si>
  <si>
    <t>N 30-22-01.2</t>
  </si>
  <si>
    <t>W 081-35-31.3</t>
  </si>
  <si>
    <t>N 30-22-01.5</t>
  </si>
  <si>
    <t>W 081-35-32.0</t>
  </si>
  <si>
    <t>N 30-14-43.4</t>
  </si>
  <si>
    <t>W 081-49-44.2</t>
  </si>
  <si>
    <t>N 30-20-03.0</t>
  </si>
  <si>
    <t>W 081-35-36.9</t>
  </si>
  <si>
    <t>N 30-20-04.9</t>
  </si>
  <si>
    <t>N 30-16-51.6</t>
  </si>
  <si>
    <t>W 081-44-52.9</t>
  </si>
  <si>
    <t>N 30-15-19.9</t>
  </si>
  <si>
    <t>W 081-44-21.0</t>
  </si>
  <si>
    <t>W 081-44-23.0</t>
  </si>
  <si>
    <t>N 30-16-11.9</t>
  </si>
  <si>
    <t>W 081-46-13.8</t>
  </si>
  <si>
    <t>N 30-19-44.7</t>
  </si>
  <si>
    <t>W 081-41-49.9</t>
  </si>
  <si>
    <t>N 30-20-46.2</t>
  </si>
  <si>
    <t>W 081-40-27.7</t>
  </si>
  <si>
    <t>E. BAY STREET</t>
  </si>
  <si>
    <t>A PHILIP RANDOLPH BOULEVARD</t>
  </si>
  <si>
    <t>W MONROE STREET</t>
  </si>
  <si>
    <t>W ADAMS STREET</t>
  </si>
  <si>
    <t>GATOR BOWL DRIVE</t>
  </si>
  <si>
    <t>GATOR BOWL BOULEVARD</t>
  </si>
  <si>
    <t>OLD PLANK ROAD</t>
  </si>
  <si>
    <t>N. MCDUFF AVENUE</t>
  </si>
  <si>
    <t>PARK STREET</t>
  </si>
  <si>
    <t>MCDUFF AVENUE</t>
  </si>
  <si>
    <t>N DAVIS STREET</t>
  </si>
  <si>
    <t>W. 10TH STREET</t>
  </si>
  <si>
    <t>IONIA STREET</t>
  </si>
  <si>
    <t>BENNETT STREET</t>
  </si>
  <si>
    <t>FRANKLIN STREET</t>
  </si>
  <si>
    <t>W. 25TH STREET</t>
  </si>
  <si>
    <t>WINTHROP STREET</t>
  </si>
  <si>
    <t>W. 6TH STREET</t>
  </si>
  <si>
    <t>E. 1ST STREET</t>
  </si>
  <si>
    <t>HARRISON STREET</t>
  </si>
  <si>
    <t>CONFEDERATE STREET</t>
  </si>
  <si>
    <t>HUBBARD STREET</t>
  </si>
  <si>
    <t>N. LIBERTY STREET</t>
  </si>
  <si>
    <t>JESSIE STREET</t>
  </si>
  <si>
    <t>PEARL ST.</t>
  </si>
  <si>
    <t>GATTIS LANE</t>
  </si>
  <si>
    <t>JMM</t>
  </si>
  <si>
    <t>AUGUSTINE ROAD</t>
  </si>
  <si>
    <t>SAN MARCO BOULVARD</t>
  </si>
  <si>
    <t>BEDFORD ROAD</t>
  </si>
  <si>
    <t>LASALLE STREET</t>
  </si>
  <si>
    <t>SPRING PARK ROAD</t>
  </si>
  <si>
    <t>ATLANTIC BOULVARD</t>
  </si>
  <si>
    <t>BARTLEY CIRCLE</t>
  </si>
  <si>
    <t>STANLEY STREET</t>
  </si>
  <si>
    <t>GULF LIFE DRIVE</t>
  </si>
  <si>
    <t>PARENTAL HOME ROAD</t>
  </si>
  <si>
    <t>PARENTAL HOME RD.</t>
  </si>
  <si>
    <t>HECKSHER DRIVE</t>
  </si>
  <si>
    <t>SAGO AVE. W.</t>
  </si>
  <si>
    <t>NEW WORLD AVENUE</t>
  </si>
  <si>
    <t>CECIL PINES STREET</t>
  </si>
  <si>
    <t>FCLTY # 333</t>
  </si>
  <si>
    <t>LAKE FETWELL STREET</t>
  </si>
  <si>
    <t>BRADY ROAD</t>
  </si>
  <si>
    <t>MCCORMICK ROAD</t>
  </si>
  <si>
    <t>JOEANDY ROAD</t>
  </si>
  <si>
    <t>ST JOHNS BLUFF ROAD</t>
  </si>
  <si>
    <t>ST JOHNS BLUFF ROAD N</t>
  </si>
  <si>
    <t>LEONARD ABESS BOULEVARD</t>
  </si>
  <si>
    <t>CPB</t>
  </si>
  <si>
    <t>SAN PABLO ROAD</t>
  </si>
  <si>
    <t>ARLINGTON EXPRESSWAY</t>
  </si>
  <si>
    <t>MERRILL RD.</t>
  </si>
  <si>
    <t>REGENCY SQUARE</t>
  </si>
  <si>
    <t>FIRST FEDERAL DR.</t>
  </si>
  <si>
    <t>YELLOW BLUFF RD.</t>
  </si>
  <si>
    <t>PFC</t>
  </si>
  <si>
    <t>MAXVILLE BOULEVARD</t>
  </si>
  <si>
    <t>PENNSYLVANIA AVE</t>
  </si>
  <si>
    <t>U.S.301 HIGHWAY</t>
  </si>
  <si>
    <t>PENNSYLVANIA  AVE</t>
  </si>
  <si>
    <t>PENNSYLVANIA AVENUE</t>
  </si>
  <si>
    <t>OLIVER W STREET</t>
  </si>
  <si>
    <t>COLLINS ROAD</t>
  </si>
  <si>
    <t>MCC</t>
  </si>
  <si>
    <t>MANOR DRIVE</t>
  </si>
  <si>
    <t>ACANTHUS DR.</t>
  </si>
  <si>
    <t>105TH STREET</t>
  </si>
  <si>
    <t>WHEAT ROAD</t>
  </si>
  <si>
    <t>105TH. STREET</t>
  </si>
  <si>
    <t>OLD MIDDLEBURG ROAD</t>
  </si>
  <si>
    <t>FIREFIGHTERS MEMORIAL DRIVE</t>
  </si>
  <si>
    <t>MARINA DRIVE</t>
  </si>
  <si>
    <t>JUPITER COURT N</t>
  </si>
  <si>
    <t>MCALEER ROAD</t>
  </si>
  <si>
    <t>SKYCREST DRIVE</t>
  </si>
  <si>
    <t>HODGES BOULEVARD</t>
  </si>
  <si>
    <t>COMMWEALTH AVENUE</t>
  </si>
  <si>
    <t>DEERWOOD PARK BOULEVARD</t>
  </si>
  <si>
    <t>PHILLIPS HIGHWAY</t>
  </si>
  <si>
    <t>WESTERN WAY CIRCLE</t>
  </si>
  <si>
    <t>RECREATION MAINTENANCE COMPLEX</t>
  </si>
  <si>
    <t>JAKE GODBOLD BUILDING</t>
  </si>
  <si>
    <t>FIRE STATION 4</t>
  </si>
  <si>
    <t>FIRE STATION 4 EXTENSION</t>
  </si>
  <si>
    <t>FIRE STATION 5 (OLD)</t>
  </si>
  <si>
    <t>PUBLIC WORKS - INSPECTORS OFFICE</t>
  </si>
  <si>
    <t>PORTABLE OFFICE (INSPECTORS)</t>
  </si>
  <si>
    <t>WEST YARD - E</t>
  </si>
  <si>
    <t>WEST YARD - C</t>
  </si>
  <si>
    <t>WEST YARD - A</t>
  </si>
  <si>
    <t>WEST YARD - K</t>
  </si>
  <si>
    <t>STORAGE BUILDING I</t>
  </si>
  <si>
    <t>STORAGE BUILDING II</t>
  </si>
  <si>
    <t>STORAGE BUILDING III</t>
  </si>
  <si>
    <t>OFFICE BUILDING-ASH REMEDIATION</t>
  </si>
  <si>
    <t>PUBLIC WORKS-COMMUNICATIONS</t>
  </si>
  <si>
    <t>FLEET MANAGEMENT CENTRAL GARAGE</t>
  </si>
  <si>
    <t>FIRE STATION 9</t>
  </si>
  <si>
    <t>WEST YARD - H</t>
  </si>
  <si>
    <t>FIRE DEPARTMENT STOREROOM</t>
  </si>
  <si>
    <t>FIRE STATION 2</t>
  </si>
  <si>
    <t>FIRE STATION 38</t>
  </si>
  <si>
    <t>PUBLIC WORKS - FLEET E</t>
  </si>
  <si>
    <t>CUSTOMERS LOUNGE</t>
  </si>
  <si>
    <t>BEACHES SENIOR CENTER</t>
  </si>
  <si>
    <t>MONTGOMERY CORRECTIONAL-OFFICE</t>
  </si>
  <si>
    <t>MONTGOMERY CORRECTIONAL-BWING</t>
  </si>
  <si>
    <t>MONTGOMERY CORRECTIONAL-PISTG</t>
  </si>
  <si>
    <t>MONTGOMERY CORRECTIONAL-NURSWH</t>
  </si>
  <si>
    <t>NURSERY WAREHOUSE</t>
  </si>
  <si>
    <t>MONTGOMERY CORRECTIONAL-NURSERY</t>
  </si>
  <si>
    <t>NURSERY BUILDING</t>
  </si>
  <si>
    <t>HOTHOUSE BUILDING</t>
  </si>
  <si>
    <t>MONTGOMERY CORRECTIONAL-KTCH</t>
  </si>
  <si>
    <t>MONTGOMERY CORRECTIONAL-INDUSTRY</t>
  </si>
  <si>
    <t>PRISON INDUSTRY OFFICE-MECHANIC</t>
  </si>
  <si>
    <t>MONTGOMERY CORRECTIONAL-HOUSE1</t>
  </si>
  <si>
    <t>SECURITY HOUSE 1</t>
  </si>
  <si>
    <t>MONTGOMERY CORRECTIONAL-HOUSE2</t>
  </si>
  <si>
    <t>SECURITY HOUSE 2</t>
  </si>
  <si>
    <t>MONTGOMERY CORRECTIONAL-K9</t>
  </si>
  <si>
    <t>BMX CONCESSION/RESTROOM BUILDING</t>
  </si>
  <si>
    <t>BURNETT PARK</t>
  </si>
  <si>
    <t>LEM MERRETT PARK</t>
  </si>
  <si>
    <t>THOMAS MARSHALL PARK RESTROOM</t>
  </si>
  <si>
    <t>RESTROOM/CONCESSION BUILDING</t>
  </si>
  <si>
    <t>CABIN I</t>
  </si>
  <si>
    <t>CABIN II</t>
  </si>
  <si>
    <t>FIRE STATION 1</t>
  </si>
  <si>
    <t>FIRE STATION 5 (NEW)</t>
  </si>
  <si>
    <t>MONTGOMERY CORRECTIONAL-FS STG</t>
  </si>
  <si>
    <t>SOLID WASTE OFFICE</t>
  </si>
  <si>
    <t>PUBLIC WORKS-SOLID WASTE B</t>
  </si>
  <si>
    <t>PUBLIC WORKS-SOLID WASTE C</t>
  </si>
  <si>
    <t>SOLID WASTE STORAGE BUILDING</t>
  </si>
  <si>
    <t>WEST YARD - D</t>
  </si>
  <si>
    <t>STORAGE LOCKER/SMALL ENGINE REP</t>
  </si>
  <si>
    <t>WEST YARD - J</t>
  </si>
  <si>
    <t>1136</t>
  </si>
  <si>
    <t>PUBLIC WORKS - INSPECTORS OFFICE B</t>
  </si>
  <si>
    <t>PUBLIC WORKS-TRAFFIC OPERATIONSA</t>
  </si>
  <si>
    <t>PUBLIC WORKS-TRAFFIC OPERATIONSC</t>
  </si>
  <si>
    <t>PUBLIC WORKS-TRAFFIC OPERATIONSB</t>
  </si>
  <si>
    <t>PUBLIC WORKS-TRAFFIC OPERATIONSD</t>
  </si>
  <si>
    <t>PUBLIC WORKS-TRAFFIC OPERATIONSE</t>
  </si>
  <si>
    <t>CABLE STORAGE SHED</t>
  </si>
  <si>
    <t>PUBLIC WORKS - TRAFFIC OPERATIONS</t>
  </si>
  <si>
    <t>STORAGE RR BOX CAR</t>
  </si>
  <si>
    <t>METAL WELDING SHOP/STORAGE</t>
  </si>
  <si>
    <t>MONTGOMERY CORRECTIONAL-NORTH</t>
  </si>
  <si>
    <t>OPERATIONS BUILDING</t>
  </si>
  <si>
    <t>LANNIE ROAD PARK</t>
  </si>
  <si>
    <t>WEST YARD - I</t>
  </si>
  <si>
    <t>EQUIPMENT CONTROL STORAGE</t>
  </si>
  <si>
    <t>WEST YARD - F</t>
  </si>
  <si>
    <t>MONTGOMERY CORRECTIONAL-TRACTOR</t>
  </si>
  <si>
    <t>WEST YARD - G</t>
  </si>
  <si>
    <t>WEST YARD - B</t>
  </si>
  <si>
    <t>BAKER SKINNER PARK</t>
  </si>
  <si>
    <t>CONCESSION STAND/PRESS BOX</t>
  </si>
  <si>
    <t>GARDEN CITY ELEMENTARY PARK</t>
  </si>
  <si>
    <t>STORAGE BUILDING</t>
  </si>
  <si>
    <t>GARDEN CITY PARK</t>
  </si>
  <si>
    <t>GREATER JACKSONVILLE KINGFISH</t>
  </si>
  <si>
    <t>CLASSROOM BY SHOOT HOUSE</t>
  </si>
  <si>
    <t>MONTGOMERY CORRECTIONAL-AC</t>
  </si>
  <si>
    <t>AC SHOP</t>
  </si>
  <si>
    <t>MONTGOMERY CORRECTIONAL-CWING</t>
  </si>
  <si>
    <t>MONTGOMERY CORRECTIONAL-FCLINIC</t>
  </si>
  <si>
    <t>FEMALE CLINIC</t>
  </si>
  <si>
    <t>LOSCO REGIONAL PARK</t>
  </si>
  <si>
    <t>NORTH COMPOUND MALE CLINIC</t>
  </si>
  <si>
    <t>MONTGOMERY CORRECTIONAL-RECORD</t>
  </si>
  <si>
    <t>FILE RECORDS STORAGE</t>
  </si>
  <si>
    <t>MONTGOMERY CORRECTIONAL-SECSTG</t>
  </si>
  <si>
    <t>MONTGOMERY CORRECTIONAL-SECURITY</t>
  </si>
  <si>
    <t>MONTGOMERY CORRECTIONAL-SUPPLY</t>
  </si>
  <si>
    <t>LAKE COVE ROAD</t>
  </si>
  <si>
    <t>LAKE COVE AVENUE</t>
  </si>
  <si>
    <t>BCC</t>
  </si>
  <si>
    <t>CRYSTAL SPRINGS ROAD</t>
  </si>
  <si>
    <t>PINE LINKS STREET</t>
  </si>
  <si>
    <t>PINE LINKS STEET</t>
  </si>
  <si>
    <t>LINKS NOTCH LANE</t>
  </si>
  <si>
    <t>PINE STRAW LANE</t>
  </si>
  <si>
    <t>PINE LINKS NOTCH</t>
  </si>
  <si>
    <t>LAKE NEWMAN COURT</t>
  </si>
  <si>
    <t>PINE HOME ROAD</t>
  </si>
  <si>
    <t>PAVILLION 3</t>
  </si>
  <si>
    <t>LINDSEY ROAD</t>
  </si>
  <si>
    <t>FS32</t>
  </si>
  <si>
    <t>LENOX ROAD</t>
  </si>
  <si>
    <t>FS40</t>
  </si>
  <si>
    <t>SAWPIT ROAD</t>
  </si>
  <si>
    <t>SAWPIT ROAD (BHK)</t>
  </si>
  <si>
    <t>SAWPIT EXT. ROAD</t>
  </si>
  <si>
    <t>MAYPORT ROAD. (MYP)</t>
  </si>
  <si>
    <t>SEMINOLE ROAD ATLANTIC BEACH</t>
  </si>
  <si>
    <t>OCEAN STREET</t>
  </si>
  <si>
    <t>GAVAGAN ROAD</t>
  </si>
  <si>
    <t>WONDERWOOD DRIVE</t>
  </si>
  <si>
    <t>HANNA PK FIRE &amp; RESCUE VEHICLE STORAGE</t>
  </si>
  <si>
    <t>N 30-18-09.2</t>
  </si>
  <si>
    <t>W 081-49-31.4</t>
  </si>
  <si>
    <t>W 081-53-27.4</t>
  </si>
  <si>
    <t>W 081-53-25.9</t>
  </si>
  <si>
    <t>N 30-17-17.3</t>
  </si>
  <si>
    <t>N 30-22-17.7</t>
  </si>
  <si>
    <t>W 081-24-24.6</t>
  </si>
  <si>
    <t>N 30-23-45.5</t>
  </si>
  <si>
    <t>W 081-25-40.6</t>
  </si>
  <si>
    <t>0271</t>
  </si>
  <si>
    <t>DAY CARE CENTER BUILDING</t>
  </si>
  <si>
    <t>ADMINISTRATION AND DAYCARE CENTER</t>
  </si>
  <si>
    <t>PARKING STRUCTURE</t>
  </si>
  <si>
    <t>POLICE AND FIRE PENSION BUILDING</t>
  </si>
  <si>
    <t>FIRE MUSEUM</t>
  </si>
  <si>
    <t>FIRE STATION 39</t>
  </si>
  <si>
    <t>MARINE 3 STATION</t>
  </si>
  <si>
    <t>OLD FIRE STATION 40</t>
  </si>
  <si>
    <t>WAREHOUSE BUILDING</t>
  </si>
  <si>
    <t>0087</t>
  </si>
  <si>
    <t>0024</t>
  </si>
  <si>
    <t>DUVAL COUNTY EXTENSION OFFICE</t>
  </si>
  <si>
    <t>0309</t>
  </si>
  <si>
    <t>STORAGE BUILDING 1</t>
  </si>
  <si>
    <t>WEIGHT BUILDING</t>
  </si>
  <si>
    <t>BIG RED CHEERING SHED</t>
  </si>
  <si>
    <t>PRESS BOX BUILDING 1</t>
  </si>
  <si>
    <t>CONCESSION BUILDING</t>
  </si>
  <si>
    <t>MAIN SURPLUS BUILDING 1</t>
  </si>
  <si>
    <t>SURPLUS BUILDING 2</t>
  </si>
  <si>
    <t>SURPLUS BUILDING 3</t>
  </si>
  <si>
    <t>0174</t>
  </si>
  <si>
    <t>0297</t>
  </si>
  <si>
    <t>BOONE PARK PRO SHOP BUILDING</t>
  </si>
  <si>
    <t>THEATRE AND MUSEUM BUILDING</t>
  </si>
  <si>
    <t>WAREHOUSE 2</t>
  </si>
  <si>
    <t>WAREHOUSE 3 (VACANT)</t>
  </si>
  <si>
    <t>0069</t>
  </si>
  <si>
    <t>SWIMMING POOL</t>
  </si>
  <si>
    <t>KOOKER PARK</t>
  </si>
  <si>
    <t>0313</t>
  </si>
  <si>
    <t>SENIOR CLUBHOUSE CENTER</t>
  </si>
  <si>
    <t>0040</t>
  </si>
  <si>
    <t>HOBBYLAND (BRENTWOOD) CENTER</t>
  </si>
  <si>
    <t>HOBBYLAND CENTER BUILDING</t>
  </si>
  <si>
    <t>MAIN BUILDING</t>
  </si>
  <si>
    <t>AUTOPSY  BUILDING</t>
  </si>
  <si>
    <t>DECOMPOSE BUILDING</t>
  </si>
  <si>
    <t>0343</t>
  </si>
  <si>
    <t>CLUBHOUSE/RECREATION CENTER</t>
  </si>
  <si>
    <t>0073</t>
  </si>
  <si>
    <t>HEALTH CENTER BUILDING (LEASED)</t>
  </si>
  <si>
    <t>HEALTH CENTER BLDG 2  (LEASED)</t>
  </si>
  <si>
    <t>0085</t>
  </si>
  <si>
    <t>HEALTH CLINIC BUILDING (VACANT)</t>
  </si>
  <si>
    <t>3RD FLOOR</t>
  </si>
  <si>
    <t>0049</t>
  </si>
  <si>
    <t>MARY SINGLETON CENTER</t>
  </si>
  <si>
    <t>0056</t>
  </si>
  <si>
    <t>0092</t>
  </si>
  <si>
    <t>0178</t>
  </si>
  <si>
    <t>DIVISION BUILDING 2</t>
  </si>
  <si>
    <t>WAREHOUSE BUILDING 2 (VACANT)</t>
  </si>
  <si>
    <t>CONFEDERATE PARK</t>
  </si>
  <si>
    <t>PUBLIC WORKS BUILDING</t>
  </si>
  <si>
    <t>0361</t>
  </si>
  <si>
    <t>DIVISION BUILDING</t>
  </si>
  <si>
    <t>WAREHOUSE BUILDING 1</t>
  </si>
  <si>
    <t>MOWER 7 AND CARPENTER SHOP</t>
  </si>
  <si>
    <t>0376</t>
  </si>
  <si>
    <t>EASTSIDE CIVIC CENTER</t>
  </si>
  <si>
    <t>N 30-20-06.7</t>
  </si>
  <si>
    <t>W 081-38-23.0</t>
  </si>
  <si>
    <t>VEHICLE INSPECTION BUILDING</t>
  </si>
  <si>
    <t>INSPECTION OFFICE BUILDING</t>
  </si>
  <si>
    <t>0489</t>
  </si>
  <si>
    <t>0176</t>
  </si>
  <si>
    <t>COMMUNITY CENTER BUILDING</t>
  </si>
  <si>
    <t>DRESSING/SHOWER BUILDING</t>
  </si>
  <si>
    <t>BUREAU</t>
  </si>
  <si>
    <t>MUSEUM BUILDING</t>
  </si>
  <si>
    <t>SOUTHSIDE PARK PRO SHOP BUILDING</t>
  </si>
  <si>
    <t>SOUTHSIDE PARK COMPLEX</t>
  </si>
  <si>
    <t>0410</t>
  </si>
  <si>
    <t>CONCESSION/RESTROOM BUILDING</t>
  </si>
  <si>
    <t>SENIOR CLUBHOUSE BUILDING</t>
  </si>
  <si>
    <t>RECREATION BUILDING</t>
  </si>
  <si>
    <t>HUNTER ROAD</t>
  </si>
  <si>
    <t>N 30-17-16.9</t>
  </si>
  <si>
    <t>W 081-37-04.9</t>
  </si>
  <si>
    <t>N 30-17-18.0</t>
  </si>
  <si>
    <t>W 081-37-04.7</t>
  </si>
  <si>
    <t>N 30-17-20.2</t>
  </si>
  <si>
    <t>W 081-37-08.1</t>
  </si>
  <si>
    <t>0175</t>
  </si>
  <si>
    <t>LIBRARY AND RECREATION BUILDING</t>
  </si>
  <si>
    <t>0319</t>
  </si>
  <si>
    <t>0314</t>
  </si>
  <si>
    <t>TOOLHOUSE BUILDING</t>
  </si>
  <si>
    <t>LILLIAN SAUNDERS CENTER</t>
  </si>
  <si>
    <t>0032</t>
  </si>
  <si>
    <t>CLUB</t>
  </si>
  <si>
    <t>DAY CARE CENTER BUILDING 2</t>
  </si>
  <si>
    <t>0362</t>
  </si>
  <si>
    <t>WATER FOUNTAIN W/ PUMPHOUSE</t>
  </si>
  <si>
    <t>FRIENDSHIP PARK &amp; FOUNTAIN</t>
  </si>
  <si>
    <t>OCEANWAY CIVIC CENTER BUILDING</t>
  </si>
  <si>
    <t>OCEANWAY RECREATION BUILDING</t>
  </si>
  <si>
    <t>OCEANWAY SENIOR CENTER</t>
  </si>
  <si>
    <t>ADMINISTRATION OFFICE</t>
  </si>
  <si>
    <t>0311</t>
  </si>
  <si>
    <t>RESTROOM/CONCESSION/PRESSBOX BLD</t>
  </si>
  <si>
    <t>EMPLOYEE FACILITY/SUPPLY BLDG</t>
  </si>
  <si>
    <t>PUBLIC WORKS SOUTH AREA</t>
  </si>
  <si>
    <t>0031</t>
  </si>
  <si>
    <t>DANIEL MEMORIAL BUILDING(LEASED)</t>
  </si>
  <si>
    <t>DANIEL MEMORIAL BUILDING</t>
  </si>
  <si>
    <t>ENGINEERING OFFICE TRAILER</t>
  </si>
  <si>
    <t>PUBLIC WORKS STREETS/DRAIN BLDG</t>
  </si>
  <si>
    <t>VEHICLE STORAGE BUILDING</t>
  </si>
  <si>
    <t>MOSQUITO CONTROL COMPLEX</t>
  </si>
  <si>
    <t>GAS PUMP BUILDING</t>
  </si>
  <si>
    <t>HUGENOT PARK</t>
  </si>
  <si>
    <t>TOOL SHED</t>
  </si>
  <si>
    <t>MAIN OFFICE BUILDING</t>
  </si>
  <si>
    <t>CHEMICAL WAREHOUSE</t>
  </si>
  <si>
    <t>MAIN HANGAR BUILDING 1</t>
  </si>
  <si>
    <t>NAVAL STORAGE NGC</t>
  </si>
  <si>
    <t>WAREHOUSE NGC BUILDING</t>
  </si>
  <si>
    <t>NAVAL OLD HOSPITAL (CLINIC)</t>
  </si>
  <si>
    <t>CLINIC BUILDING</t>
  </si>
  <si>
    <t>EXCHANGE COMPLEX</t>
  </si>
  <si>
    <t>NAVAL CHAPEL</t>
  </si>
  <si>
    <t>CHAPEL</t>
  </si>
  <si>
    <t>NAVAL OFFICE NORTHRUP GRUMMAN</t>
  </si>
  <si>
    <t>NAVAL VA OFFICE</t>
  </si>
  <si>
    <t>NAVAL POST OFFICE</t>
  </si>
  <si>
    <t>POST OFFICE BUILDING</t>
  </si>
  <si>
    <t>CCC</t>
  </si>
  <si>
    <t>NAVAL WAREHOUSE JEDC</t>
  </si>
  <si>
    <t>M AND T COMPANY OFFICE</t>
  </si>
  <si>
    <t>NAVAL OLD MCDONALD</t>
  </si>
  <si>
    <t>OLD MCDONALD BUILDING</t>
  </si>
  <si>
    <t>NAVAL FRETWELL PARK</t>
  </si>
  <si>
    <t>0411</t>
  </si>
  <si>
    <t>OLD HOUSE MUSEUM BUILDING</t>
  </si>
  <si>
    <t>SENIOR CENTER BUILDING</t>
  </si>
  <si>
    <t>SOCCER RESTROOM/CONCESSION BLDG</t>
  </si>
  <si>
    <t>BASEBALL RESTROOM/CONCESSION BLD</t>
  </si>
  <si>
    <t>STORAGE BUILIDING</t>
  </si>
  <si>
    <t>ED AUSTIN PARK</t>
  </si>
  <si>
    <t>0468</t>
  </si>
  <si>
    <t>0023</t>
  </si>
  <si>
    <t>NEW CANNING CENTER</t>
  </si>
  <si>
    <t>CANNING WAREHOUSE</t>
  </si>
  <si>
    <t>CONCESSION/RESTROOM/PRESSBOX BLD</t>
  </si>
  <si>
    <t>0301</t>
  </si>
  <si>
    <t>CONCESSION/RESTROOM/PRESBOX BLDG</t>
  </si>
  <si>
    <t>0433</t>
  </si>
  <si>
    <t>FIRE STATION ACADEMY</t>
  </si>
  <si>
    <t>WHEAT ROAD PARK 1</t>
  </si>
  <si>
    <t>0370</t>
  </si>
  <si>
    <t>0082</t>
  </si>
  <si>
    <t>HEALTH CENTER BUILDING</t>
  </si>
  <si>
    <t>RESTROOM BUILDING 1</t>
  </si>
  <si>
    <t>RESTROOM BUILDING 2</t>
  </si>
  <si>
    <t>CONCESSION/PRESSBOX BILDING</t>
  </si>
  <si>
    <t>WHEAT FIELD PARK  2</t>
  </si>
  <si>
    <t>0387</t>
  </si>
  <si>
    <t>WEIGHTROOM  BUILDING</t>
  </si>
  <si>
    <t>WESCONNETT ELEM COMPLEX</t>
  </si>
  <si>
    <t>PRESS BOX/STORAGE BUILDING</t>
  </si>
  <si>
    <t>MCBRITS CREEK COMPLEX</t>
  </si>
  <si>
    <t>TRAIL RIDGE LANDFILL</t>
  </si>
  <si>
    <t>MAINTENANCE BUILDING</t>
  </si>
  <si>
    <t>0470</t>
  </si>
  <si>
    <t>0467</t>
  </si>
  <si>
    <t>FIRE TOWER</t>
  </si>
  <si>
    <t>MAXVILLE RECREATION COMPLEX</t>
  </si>
  <si>
    <t>0294</t>
  </si>
  <si>
    <t>BASEBALL CONCESSION/RESTROOM BLD</t>
  </si>
  <si>
    <t>MAXVILLE COMMUNITY CENTER</t>
  </si>
  <si>
    <t>0050</t>
  </si>
  <si>
    <t>RECREATION BUILDING (VACANT)</t>
  </si>
  <si>
    <t>HECKSCHER RECREATION CENTER</t>
  </si>
  <si>
    <t>PALMS FISH RESTAURANT(VACANT)</t>
  </si>
  <si>
    <t>0464</t>
  </si>
  <si>
    <t>0345</t>
  </si>
  <si>
    <t>0399</t>
  </si>
  <si>
    <t>0454</t>
  </si>
  <si>
    <t>0455</t>
  </si>
  <si>
    <t>0182</t>
  </si>
  <si>
    <t>0288</t>
  </si>
  <si>
    <t>SUNNY ACRES RECREATION COMPLEX</t>
  </si>
  <si>
    <t>ZONE 2</t>
  </si>
  <si>
    <t>CASTAWAY PARK</t>
  </si>
  <si>
    <t>CRAIG FIELD HANGAR 14</t>
  </si>
  <si>
    <t>MOSQUITO UNIT HANGAR 14</t>
  </si>
  <si>
    <t>LEONARD ABESS PARK</t>
  </si>
  <si>
    <t>0273</t>
  </si>
  <si>
    <t>SHERIFF'S AVIATION UNIT</t>
  </si>
  <si>
    <t>AVIATION UNIT HANGAR 18 BLDG</t>
  </si>
  <si>
    <t>EAST AREA YARD COMPLEX</t>
  </si>
  <si>
    <t>EAST DIVISION OFFICE BUILDING</t>
  </si>
  <si>
    <t>EAST DIVISION SUPPLY BUILDING</t>
  </si>
  <si>
    <t>EAST DIVISION WAREHOUSE</t>
  </si>
  <si>
    <t>GYM PRANDE</t>
  </si>
  <si>
    <t>GYMNASIUM BUILDING</t>
  </si>
  <si>
    <t>0394</t>
  </si>
  <si>
    <t>0395</t>
  </si>
  <si>
    <t>0469</t>
  </si>
  <si>
    <t>0346</t>
  </si>
  <si>
    <t>0295</t>
  </si>
  <si>
    <t>0465</t>
  </si>
  <si>
    <t>0317</t>
  </si>
  <si>
    <t>0349</t>
  </si>
  <si>
    <t>0351</t>
  </si>
  <si>
    <t>0356</t>
  </si>
  <si>
    <t>0357</t>
  </si>
  <si>
    <t>0358</t>
  </si>
  <si>
    <t>0359</t>
  </si>
  <si>
    <t>0407</t>
  </si>
  <si>
    <t>0408</t>
  </si>
  <si>
    <t>BUILDING VALUE</t>
  </si>
  <si>
    <t>CONTENTS VALUE</t>
  </si>
  <si>
    <t>LATITUDE</t>
  </si>
  <si>
    <t>32205</t>
  </si>
  <si>
    <t>10</t>
  </si>
  <si>
    <t>12/31/1958</t>
  </si>
  <si>
    <t>2</t>
  </si>
  <si>
    <t>9</t>
  </si>
  <si>
    <t>4</t>
  </si>
  <si>
    <t>0</t>
  </si>
  <si>
    <t>3</t>
  </si>
  <si>
    <t>5</t>
  </si>
  <si>
    <t>1</t>
  </si>
  <si>
    <t>N 30-19-50.2</t>
  </si>
  <si>
    <t>114</t>
  </si>
  <si>
    <t>12/31/1971</t>
  </si>
  <si>
    <t>12/31/9999</t>
  </si>
  <si>
    <t>7</t>
  </si>
  <si>
    <t>32204</t>
  </si>
  <si>
    <t>12/31/1965</t>
  </si>
  <si>
    <t>W 081-40-24.9</t>
  </si>
  <si>
    <t>JOE JAMES COMMUNITY CENTER</t>
  </si>
  <si>
    <t>32209</t>
  </si>
  <si>
    <t>CONCESSION/PRESSBOX BUILDING</t>
  </si>
  <si>
    <t>32216</t>
  </si>
  <si>
    <t>12/31/1980</t>
  </si>
  <si>
    <t>SIMONDS JOHNSON RECREATION CNTR</t>
  </si>
  <si>
    <t>12/31/1990</t>
  </si>
  <si>
    <t>WESTBROOK PARK COMMUNITY CENTER</t>
  </si>
  <si>
    <t>12/31/2002</t>
  </si>
  <si>
    <t>N 30-20-19.8</t>
  </si>
  <si>
    <t>POOL W/POOL BUILDING</t>
  </si>
  <si>
    <t>32211</t>
  </si>
  <si>
    <t>12/31/1970</t>
  </si>
  <si>
    <t>W 081-36-31.1</t>
  </si>
  <si>
    <t>111</t>
  </si>
  <si>
    <t>POOL RESTROOM BUILDING</t>
  </si>
  <si>
    <t>12/31/1966</t>
  </si>
  <si>
    <t>6</t>
  </si>
  <si>
    <t>137</t>
  </si>
  <si>
    <t>39</t>
  </si>
  <si>
    <t>SENIOR CENTER</t>
  </si>
  <si>
    <t>12/31/1982</t>
  </si>
  <si>
    <t>8</t>
  </si>
  <si>
    <t>134</t>
  </si>
  <si>
    <t>POOL W/RESTROOM/PAVILION</t>
  </si>
  <si>
    <t>FOOTBALL STORAGE BUILDING</t>
  </si>
  <si>
    <t>101</t>
  </si>
  <si>
    <t>32210</t>
  </si>
  <si>
    <t>12/31/1978</t>
  </si>
  <si>
    <t>1425</t>
  </si>
  <si>
    <t>CESERY PARK</t>
  </si>
  <si>
    <t>2601</t>
  </si>
  <si>
    <t>EMMETT REED RECREATION CENTER</t>
  </si>
  <si>
    <t>12/31/1976</t>
  </si>
  <si>
    <t>32266</t>
  </si>
  <si>
    <t>32208</t>
  </si>
  <si>
    <t>32219</t>
  </si>
  <si>
    <t>J E B STUART CONGO RESTROOMS</t>
  </si>
  <si>
    <t>12/31/1991</t>
  </si>
  <si>
    <t>NIPS SAMS MEMORIAL PARK</t>
  </si>
  <si>
    <t>1471</t>
  </si>
  <si>
    <t>7220</t>
  </si>
  <si>
    <t>32277</t>
  </si>
  <si>
    <t>12/31/1968</t>
  </si>
  <si>
    <t>32202</t>
  </si>
  <si>
    <t>24</t>
  </si>
  <si>
    <t>NADEP FACILITY 832</t>
  </si>
  <si>
    <t>FACILITY 832</t>
  </si>
  <si>
    <t>FCCJ FACILITY 8</t>
  </si>
  <si>
    <t>151</t>
  </si>
  <si>
    <t>J A JONES FACILITY</t>
  </si>
  <si>
    <t>12/31/1992</t>
  </si>
  <si>
    <t>12/31/1981</t>
  </si>
  <si>
    <t>112</t>
  </si>
  <si>
    <t>NADEP FACILITY 338</t>
  </si>
  <si>
    <t>FACILITY 338</t>
  </si>
  <si>
    <t>12/31/1957</t>
  </si>
  <si>
    <t>SPACE BIONETICS FACILITY 374</t>
  </si>
  <si>
    <t>FACILITY 374</t>
  </si>
  <si>
    <t>25</t>
  </si>
  <si>
    <t>FLORIDA ANG ARMORY</t>
  </si>
  <si>
    <t>12/31/1989</t>
  </si>
  <si>
    <t>RESTROOMS BUILDING</t>
  </si>
  <si>
    <t>BRUCE PARK</t>
  </si>
  <si>
    <t>12/31/1973</t>
  </si>
  <si>
    <t>NEIGHBORHOOD CENTER</t>
  </si>
  <si>
    <t>32258</t>
  </si>
  <si>
    <t>12/31/1997</t>
  </si>
  <si>
    <t>N 30-09-24.4</t>
  </si>
  <si>
    <t>JEFFERSON PARK</t>
  </si>
  <si>
    <t>32220</t>
  </si>
  <si>
    <t>12/31/1979</t>
  </si>
  <si>
    <t>131</t>
  </si>
  <si>
    <t>POOL W/FILTER BUILDING</t>
  </si>
  <si>
    <t>FOREST PARK RECREATION CENTER</t>
  </si>
  <si>
    <t>BROWN PARK PRO SHOP</t>
  </si>
  <si>
    <t>PRO SHOP</t>
  </si>
  <si>
    <t>LIGHT LOCKER BUILDING</t>
  </si>
  <si>
    <t>FORESTVIEW COMMUNITY CENTER</t>
  </si>
  <si>
    <t>RESTROOM/SHELTER</t>
  </si>
  <si>
    <t>PRESSBOX/CONCESSION BUILDING</t>
  </si>
  <si>
    <t>40</t>
  </si>
  <si>
    <t>12/31/1954</t>
  </si>
  <si>
    <t>PRESSBOX/STORAGE BUILDING</t>
  </si>
  <si>
    <t>32254</t>
  </si>
  <si>
    <t>12/31/1996</t>
  </si>
  <si>
    <t>12/13/1996</t>
  </si>
  <si>
    <t>W 081-33-59.2</t>
  </si>
  <si>
    <t>RESTROOM/SHELTER BUILDING</t>
  </si>
  <si>
    <t>12/31/1975</t>
  </si>
  <si>
    <t>RESTROOM/PRESSBOX BUILDING</t>
  </si>
  <si>
    <t>23</t>
  </si>
  <si>
    <t>12/31/1937</t>
  </si>
  <si>
    <t>135</t>
  </si>
  <si>
    <t>12/31/1955</t>
  </si>
  <si>
    <t>12/31/1993</t>
  </si>
  <si>
    <t>12/31/2008</t>
  </si>
  <si>
    <t>12/31/1964</t>
  </si>
  <si>
    <t>OLD FIRE STATION 32</t>
  </si>
  <si>
    <t>32248</t>
  </si>
  <si>
    <t>11</t>
  </si>
  <si>
    <t>12/31/1903</t>
  </si>
  <si>
    <t>12/31/1969</t>
  </si>
  <si>
    <t>12/31/1920</t>
  </si>
  <si>
    <t>W 081-30-36.2</t>
  </si>
  <si>
    <t>FLORIDA ANG STORAGE BUILDING</t>
  </si>
  <si>
    <t>12/31/2001</t>
  </si>
  <si>
    <t>WEST JAX FAMILY HEALTH CENTER</t>
  </si>
  <si>
    <t>HEALTH CENTER</t>
  </si>
  <si>
    <t>120</t>
  </si>
  <si>
    <t>33</t>
  </si>
  <si>
    <t>2063</t>
  </si>
  <si>
    <t>LIGHTHOUSE BOAT RAMP</t>
  </si>
  <si>
    <t>5434</t>
  </si>
  <si>
    <t>12/31/1950</t>
  </si>
  <si>
    <t>W 081-35-32.3</t>
  </si>
  <si>
    <t>226</t>
  </si>
  <si>
    <t>711</t>
  </si>
  <si>
    <t>12/31/1927</t>
  </si>
  <si>
    <t>829</t>
  </si>
  <si>
    <t>32299</t>
  </si>
  <si>
    <t>N 30-18-47.5</t>
  </si>
  <si>
    <t>12/31/2009</t>
  </si>
  <si>
    <t>421</t>
  </si>
  <si>
    <t>32250</t>
  </si>
  <si>
    <t>32225</t>
  </si>
  <si>
    <t>ML GIBBS COMMUNITY CENTER</t>
  </si>
  <si>
    <t>MALIVIA WASHINGTON YOUTH CENTER</t>
  </si>
  <si>
    <t>YOUTH CENTER</t>
  </si>
  <si>
    <t>SHANDS RESCUE 4 STATION</t>
  </si>
  <si>
    <t>SULZ BACHER COMPLEX</t>
  </si>
  <si>
    <t>SHELTER BUILDING</t>
  </si>
  <si>
    <t>12/31/1953</t>
  </si>
  <si>
    <t>12/31/2006</t>
  </si>
  <si>
    <t>DAYCARE BUILDING</t>
  </si>
  <si>
    <t>12/31/1999</t>
  </si>
  <si>
    <t>N 30-19-30.5</t>
  </si>
  <si>
    <t>W 081-39-08.2</t>
  </si>
  <si>
    <t>2276</t>
  </si>
  <si>
    <t>CHILDREN'S COMMISSION FACILITY</t>
  </si>
  <si>
    <t>1095</t>
  </si>
  <si>
    <t>N 30-20-10.4</t>
  </si>
  <si>
    <t>W 081-38-32.3</t>
  </si>
  <si>
    <t>N 30-20-07.8</t>
  </si>
  <si>
    <t>W 081-38-32.1</t>
  </si>
  <si>
    <t>2271</t>
  </si>
  <si>
    <t>POLICE AND FIRE PENSION PARKING</t>
  </si>
  <si>
    <t>N 30-19-44.3</t>
  </si>
  <si>
    <t>W 081-39-27.3</t>
  </si>
  <si>
    <t>2008</t>
  </si>
  <si>
    <t>12/31/1921</t>
  </si>
  <si>
    <t>N 30-19-40.6</t>
  </si>
  <si>
    <t>426</t>
  </si>
  <si>
    <t>1410</t>
  </si>
  <si>
    <t>12/31/1904</t>
  </si>
  <si>
    <t>116</t>
  </si>
  <si>
    <t>463</t>
  </si>
  <si>
    <t>1408</t>
  </si>
  <si>
    <t>8264</t>
  </si>
  <si>
    <t>N 30-19-45.4</t>
  </si>
  <si>
    <t>W 081-47-15.4</t>
  </si>
  <si>
    <t>W 081-42-20.5</t>
  </si>
  <si>
    <t>CRISWELL PARK COMPLEX</t>
  </si>
  <si>
    <t>5372</t>
  </si>
  <si>
    <t>N 30-17-26.2</t>
  </si>
  <si>
    <t>W 081-44-14.0</t>
  </si>
  <si>
    <t>N 30-17-26.8</t>
  </si>
  <si>
    <t>W 081-44-15.8</t>
  </si>
  <si>
    <t>N 30-17-27.0</t>
  </si>
  <si>
    <t>W 081-44-16.5</t>
  </si>
  <si>
    <t>N 30-17-27.5</t>
  </si>
  <si>
    <t>W 081-44-15.6</t>
  </si>
  <si>
    <t>N 30-17-27.2</t>
  </si>
  <si>
    <t>W 081-44-14.7</t>
  </si>
  <si>
    <t>N 30-17-27.6</t>
  </si>
  <si>
    <t>W 081-44-14.5</t>
  </si>
  <si>
    <t>1106</t>
  </si>
  <si>
    <t>SURPLUS YARD</t>
  </si>
  <si>
    <t>12/31/1945</t>
  </si>
  <si>
    <t>N 30-20-22.3</t>
  </si>
  <si>
    <t>W 081-42-22.3</t>
  </si>
  <si>
    <t>N 30-20-22.9</t>
  </si>
  <si>
    <t>W 081-42-24.0</t>
  </si>
  <si>
    <t>W 081-42-24.5</t>
  </si>
  <si>
    <t>2875</t>
  </si>
  <si>
    <t>12/31/1930</t>
  </si>
  <si>
    <t>N 30-18-27.3</t>
  </si>
  <si>
    <t>W 081-41-52.2</t>
  </si>
  <si>
    <t>N 30-17-55.3</t>
  </si>
  <si>
    <t>W 081-42-41.4</t>
  </si>
  <si>
    <t>1597</t>
  </si>
  <si>
    <t>32206</t>
  </si>
  <si>
    <t>N 30-20-05.5</t>
  </si>
  <si>
    <t>W 081-40-01.0</t>
  </si>
  <si>
    <t>1552</t>
  </si>
  <si>
    <t>1087</t>
  </si>
  <si>
    <t>12/31/1959</t>
  </si>
  <si>
    <t>N 30-20-10.2</t>
  </si>
  <si>
    <t>W 081-38-10.3</t>
  </si>
  <si>
    <t>1551</t>
  </si>
  <si>
    <t>W 081-38-09.4</t>
  </si>
  <si>
    <t>1595</t>
  </si>
  <si>
    <t>N 30-20-13.4</t>
  </si>
  <si>
    <t>W 081-38-10.8</t>
  </si>
  <si>
    <t>JSO ARCHIVES AND WAREHOUSE</t>
  </si>
  <si>
    <t>909</t>
  </si>
  <si>
    <t>W 081-38-09.2</t>
  </si>
  <si>
    <t>403</t>
  </si>
  <si>
    <t>N 30-20-57.1</t>
  </si>
  <si>
    <t>1467</t>
  </si>
  <si>
    <t>ROBERT F. KENNEDY POOL</t>
  </si>
  <si>
    <t>1133</t>
  </si>
  <si>
    <t>N 30-20-09.4</t>
  </si>
  <si>
    <t>W 081-38-49.1</t>
  </si>
  <si>
    <t>N 30-20-10.0</t>
  </si>
  <si>
    <t>W 081-38-48.8</t>
  </si>
  <si>
    <t>1171</t>
  </si>
  <si>
    <t>2900</t>
  </si>
  <si>
    <t>N 30-21-19.5</t>
  </si>
  <si>
    <t>4110</t>
  </si>
  <si>
    <t>12/31/1984</t>
  </si>
  <si>
    <t>N 30-21-48.2</t>
  </si>
  <si>
    <t>W 081-38-23.1</t>
  </si>
  <si>
    <t>561</t>
  </si>
  <si>
    <t>12/31/1935</t>
  </si>
  <si>
    <t>N 30-21-35.9</t>
  </si>
  <si>
    <t>W 081-39-45.2</t>
  </si>
  <si>
    <t>1114</t>
  </si>
  <si>
    <t>N 30-21-02.1</t>
  </si>
  <si>
    <t>W 081-39-46.9</t>
  </si>
  <si>
    <t>N 30-21-02.0</t>
  </si>
  <si>
    <t>W 081-39-46.3</t>
  </si>
  <si>
    <t>N 30-21-03.1</t>
  </si>
  <si>
    <t>W 081-39-46.6</t>
  </si>
  <si>
    <t>YARD &amp; OUTSIDE</t>
  </si>
  <si>
    <t>1429</t>
  </si>
  <si>
    <t>N 30-20-52.1</t>
  </si>
  <si>
    <t>W 081-39-42.6</t>
  </si>
  <si>
    <t>N 30-20-39.6</t>
  </si>
  <si>
    <t>W 081-39-43.7</t>
  </si>
  <si>
    <t>EAST JAX COMMUNITY HEALTH CLINIC</t>
  </si>
  <si>
    <t>2104</t>
  </si>
  <si>
    <t>N 30-20-59.2</t>
  </si>
  <si>
    <t>W 081-38-22.7</t>
  </si>
  <si>
    <t>1216</t>
  </si>
  <si>
    <t>LAB</t>
  </si>
  <si>
    <t>N 30-20-238.7</t>
  </si>
  <si>
    <t>W 081-39-42.8</t>
  </si>
  <si>
    <t>150</t>
  </si>
  <si>
    <t>N 30-20-10.3</t>
  </si>
  <si>
    <t>W 081-39-09.5</t>
  </si>
  <si>
    <t>N 30-20-13.0</t>
  </si>
  <si>
    <t>W 081-38-47.1</t>
  </si>
  <si>
    <t>1236</t>
  </si>
  <si>
    <t>N 30-20-10.5</t>
  </si>
  <si>
    <t>W 081-38-18.5</t>
  </si>
  <si>
    <t>1390</t>
  </si>
  <si>
    <t>W 081-38-26.4</t>
  </si>
  <si>
    <t>1107</t>
  </si>
  <si>
    <t>230</t>
  </si>
  <si>
    <t>N 30-20-00.2</t>
  </si>
  <si>
    <t>W 081-39-06.3</t>
  </si>
  <si>
    <t>956</t>
  </si>
  <si>
    <t>N 30-20-04.1</t>
  </si>
  <si>
    <t>W 081-39-13.7</t>
  </si>
  <si>
    <t>958</t>
  </si>
  <si>
    <t>12/31/1890</t>
  </si>
  <si>
    <t>N 30-20-05.0</t>
  </si>
  <si>
    <t>W 081-39-13.5</t>
  </si>
  <si>
    <t>1108</t>
  </si>
  <si>
    <t>930</t>
  </si>
  <si>
    <t>N 30-20-00.1</t>
  </si>
  <si>
    <t>W 081-39-04.2</t>
  </si>
  <si>
    <t>1283</t>
  </si>
  <si>
    <t>928</t>
  </si>
  <si>
    <t>N 30-19-59.2</t>
  </si>
  <si>
    <t>W 081-39-04.3</t>
  </si>
  <si>
    <t>N 30-20-06.0</t>
  </si>
  <si>
    <t>W 081-38-23.2</t>
  </si>
  <si>
    <t>1251</t>
  </si>
  <si>
    <t>12/31/1967</t>
  </si>
  <si>
    <t>N 30-20-03.5</t>
  </si>
  <si>
    <t>W 081-38-15.1</t>
  </si>
  <si>
    <t>12/31/1994</t>
  </si>
  <si>
    <t>N 30-20-03.6</t>
  </si>
  <si>
    <t>W 081-38-14.4</t>
  </si>
  <si>
    <t>3725</t>
  </si>
  <si>
    <t>12/31/1941</t>
  </si>
  <si>
    <t>N 30-21-42.3</t>
  </si>
  <si>
    <t>W 081-39-26.2</t>
  </si>
  <si>
    <t>1463</t>
  </si>
  <si>
    <t>PINE FOREST COMPLEX</t>
  </si>
  <si>
    <t>2335</t>
  </si>
  <si>
    <t>32207</t>
  </si>
  <si>
    <t>N 30-16-55.8</t>
  </si>
  <si>
    <t>W 081-38-19.4</t>
  </si>
  <si>
    <t>N 30-16-56.7</t>
  </si>
  <si>
    <t>W 081-38-13.5</t>
  </si>
  <si>
    <t>W 081-38-15.4</t>
  </si>
  <si>
    <t>115</t>
  </si>
  <si>
    <t>2277</t>
  </si>
  <si>
    <t>TRAFFIC VIOLATIONS</t>
  </si>
  <si>
    <t>3470</t>
  </si>
  <si>
    <t>N 30-18-05.8</t>
  </si>
  <si>
    <t>W 081-37-45.0</t>
  </si>
  <si>
    <t>N 30-19-14.1</t>
  </si>
  <si>
    <t>W 081-39-32.4</t>
  </si>
  <si>
    <t>1470</t>
  </si>
  <si>
    <t>1541</t>
  </si>
  <si>
    <t>N 30-18-55.0</t>
  </si>
  <si>
    <t>W 081-39-16.0</t>
  </si>
  <si>
    <t>EARL JOHNSON PARK</t>
  </si>
  <si>
    <t>5308</t>
  </si>
  <si>
    <t>N 30-16-09.1</t>
  </si>
  <si>
    <t>W 081-38-10.2</t>
  </si>
  <si>
    <t>1419</t>
  </si>
  <si>
    <t>BALIS PARK</t>
  </si>
  <si>
    <t>1999</t>
  </si>
  <si>
    <t>N 30-18-15.2</t>
  </si>
  <si>
    <t>W 081-39-14.6</t>
  </si>
  <si>
    <t>2062</t>
  </si>
  <si>
    <t>3620</t>
  </si>
  <si>
    <t>4380</t>
  </si>
  <si>
    <t>1513</t>
  </si>
  <si>
    <t>N 30-18-32.8</t>
  </si>
  <si>
    <t>SAINT NICHOLAS PARK</t>
  </si>
  <si>
    <t>2260</t>
  </si>
  <si>
    <t>N 30-18-02.6</t>
  </si>
  <si>
    <t>W 081-38-00.5</t>
  </si>
  <si>
    <t>2554</t>
  </si>
  <si>
    <t>N 30-18-19.6</t>
  </si>
  <si>
    <t>W 081-38-16.5</t>
  </si>
  <si>
    <t>1369</t>
  </si>
  <si>
    <t>2759</t>
  </si>
  <si>
    <t>N 30-18-06.0</t>
  </si>
  <si>
    <t>W 081-38-22.3</t>
  </si>
  <si>
    <t>3702</t>
  </si>
  <si>
    <t>N 30-17-43.3</t>
  </si>
  <si>
    <t>W 081-37-32.6</t>
  </si>
  <si>
    <t>N 30-17-43.8</t>
  </si>
  <si>
    <t>N 30-19-12.0</t>
  </si>
  <si>
    <t>W 081-39-35.4</t>
  </si>
  <si>
    <t>1587</t>
  </si>
  <si>
    <t>12215</t>
  </si>
  <si>
    <t>N 30-27-33.8</t>
  </si>
  <si>
    <t>W 081-37-56.3</t>
  </si>
  <si>
    <t>12/31/1983</t>
  </si>
  <si>
    <t>N 30-27-33.9</t>
  </si>
  <si>
    <t>W 081-37-54.4</t>
  </si>
  <si>
    <t>32218</t>
  </si>
  <si>
    <t>N 30-27-30.2</t>
  </si>
  <si>
    <t>W 081-37-55.3</t>
  </si>
  <si>
    <t>N 30-27-35.9</t>
  </si>
  <si>
    <t>W 081-37-55.0</t>
  </si>
  <si>
    <t>W 081-37-56.8</t>
  </si>
  <si>
    <t>W 081-37-56.0</t>
  </si>
  <si>
    <t>1296</t>
  </si>
  <si>
    <t>2915</t>
  </si>
  <si>
    <t>N 30-16-20.6</t>
  </si>
  <si>
    <t>W 081-35-21.5</t>
  </si>
  <si>
    <t>MORGAN PARK</t>
  </si>
  <si>
    <t>6736</t>
  </si>
  <si>
    <t>N 30-17-14.1</t>
  </si>
  <si>
    <t>W 081-35-24.7</t>
  </si>
  <si>
    <t>1140</t>
  </si>
  <si>
    <t>N 30-16-22.2</t>
  </si>
  <si>
    <t>W 081-35-21.3</t>
  </si>
  <si>
    <t>2951</t>
  </si>
  <si>
    <t>N 30-16-19.5</t>
  </si>
  <si>
    <t>W 081-35-24.3</t>
  </si>
  <si>
    <t>1099</t>
  </si>
  <si>
    <t>N 30-16-23.2</t>
  </si>
  <si>
    <t>W 081-35-22.4</t>
  </si>
  <si>
    <t>1298</t>
  </si>
  <si>
    <t>N 30-16-18.4</t>
  </si>
  <si>
    <t>1190</t>
  </si>
  <si>
    <t>N 30-26-37.0</t>
  </si>
  <si>
    <t>W 081-36-38.2</t>
  </si>
  <si>
    <t>1189</t>
  </si>
  <si>
    <t>N 30-26-37.5</t>
  </si>
  <si>
    <t>W 081-36-37.5</t>
  </si>
  <si>
    <t>1327</t>
  </si>
  <si>
    <t>10980</t>
  </si>
  <si>
    <t>N 30-25-04.6</t>
  </si>
  <si>
    <t>W 081-32-06.7</t>
  </si>
  <si>
    <t>1187</t>
  </si>
  <si>
    <t>N 30-26-36.3</t>
  </si>
  <si>
    <t>W 081-36-36.8</t>
  </si>
  <si>
    <t>1202</t>
  </si>
  <si>
    <t>N 30-26-40.7</t>
  </si>
  <si>
    <t>W 081-36-41.4</t>
  </si>
  <si>
    <t>1207</t>
  </si>
  <si>
    <t>N 30-26-39.2</t>
  </si>
  <si>
    <t>W 081-36-41.2</t>
  </si>
  <si>
    <t>1694</t>
  </si>
  <si>
    <t>N 30-13-27.4</t>
  </si>
  <si>
    <t>W 081-53-24.0</t>
  </si>
  <si>
    <t>1720</t>
  </si>
  <si>
    <t>6118</t>
  </si>
  <si>
    <t>N 30-13-44.4</t>
  </si>
  <si>
    <t>W 081-53-25.1</t>
  </si>
  <si>
    <t>N 30-13-42.3</t>
  </si>
  <si>
    <t>W 081-53-24.9</t>
  </si>
  <si>
    <t>1721</t>
  </si>
  <si>
    <t>OLD FOOD STORE BUILDING</t>
  </si>
  <si>
    <t>13541</t>
  </si>
  <si>
    <t>N 30-13-57.6</t>
  </si>
  <si>
    <t>W 081-53-14.6</t>
  </si>
  <si>
    <t>1675</t>
  </si>
  <si>
    <t>13531</t>
  </si>
  <si>
    <t>N 30-13-54.3</t>
  </si>
  <si>
    <t>1723</t>
  </si>
  <si>
    <t>6112</t>
  </si>
  <si>
    <t>22</t>
  </si>
  <si>
    <t>N 30-13-48.9</t>
  </si>
  <si>
    <t>1677</t>
  </si>
  <si>
    <t>6017</t>
  </si>
  <si>
    <t>N 30-13-57.1</t>
  </si>
  <si>
    <t>W 081-53-20.8</t>
  </si>
  <si>
    <t>1703</t>
  </si>
  <si>
    <t>6115</t>
  </si>
  <si>
    <t>N 30-13-45.8</t>
  </si>
  <si>
    <t>W 081-53-20.2</t>
  </si>
  <si>
    <t>1632</t>
  </si>
  <si>
    <t>13618</t>
  </si>
  <si>
    <t>CECIL COMMUNITY CENTER</t>
  </si>
  <si>
    <t>N 30-13-53.8</t>
  </si>
  <si>
    <t>W 081-53-20.0</t>
  </si>
  <si>
    <t>1708</t>
  </si>
  <si>
    <t>13636</t>
  </si>
  <si>
    <t>N 30-13-28.8</t>
  </si>
  <si>
    <t>W 081-53-31.2</t>
  </si>
  <si>
    <t>1678</t>
  </si>
  <si>
    <t>13557</t>
  </si>
  <si>
    <t>N 30-13-58.2</t>
  </si>
  <si>
    <t>W 081-53-17.9</t>
  </si>
  <si>
    <t>1679</t>
  </si>
  <si>
    <t>6011</t>
  </si>
  <si>
    <t>N 30-13-59.8</t>
  </si>
  <si>
    <t>W 081-53-20.9</t>
  </si>
  <si>
    <t>1574</t>
  </si>
  <si>
    <t>12/31/1942</t>
  </si>
  <si>
    <t>W 081-53-48.5</t>
  </si>
  <si>
    <t>14780</t>
  </si>
  <si>
    <t>32223</t>
  </si>
  <si>
    <t>1476</t>
  </si>
  <si>
    <t>11964</t>
  </si>
  <si>
    <t>N 30-09-55.1</t>
  </si>
  <si>
    <t>W 081-38-46.9</t>
  </si>
  <si>
    <t>1351</t>
  </si>
  <si>
    <t>12073</t>
  </si>
  <si>
    <t>N 30-08-58.9</t>
  </si>
  <si>
    <t>W 081-39-10.6</t>
  </si>
  <si>
    <t>N 30-08-58.8</t>
  </si>
  <si>
    <t>W 081-39-09.8</t>
  </si>
  <si>
    <t>1440</t>
  </si>
  <si>
    <t>11950</t>
  </si>
  <si>
    <t>N 30-09-13.9</t>
  </si>
  <si>
    <t>N 30-09-19.0</t>
  </si>
  <si>
    <t>W 081-38-06.5</t>
  </si>
  <si>
    <t>2187</t>
  </si>
  <si>
    <t>12125</t>
  </si>
  <si>
    <t>N 30-08-59.8</t>
  </si>
  <si>
    <t>W 081-37-34.3</t>
  </si>
  <si>
    <t>2018</t>
  </si>
  <si>
    <t>13295</t>
  </si>
  <si>
    <t>32224</t>
  </si>
  <si>
    <t>N 30-17-20.1</t>
  </si>
  <si>
    <t>W 081-28-24.4</t>
  </si>
  <si>
    <t>1431</t>
  </si>
  <si>
    <t>11751</t>
  </si>
  <si>
    <t>N 30-21-56.6</t>
  </si>
  <si>
    <t>W 081-30-23.1</t>
  </si>
  <si>
    <t>N 30-21-51.6</t>
  </si>
  <si>
    <t>W 081-30-29.5</t>
  </si>
  <si>
    <t>N 30-21-54.6</t>
  </si>
  <si>
    <t>W 081-30-16.7</t>
  </si>
  <si>
    <t>N 30-21-56.7</t>
  </si>
  <si>
    <t>W 081-30-34.8</t>
  </si>
  <si>
    <t>2284</t>
  </si>
  <si>
    <t>251</t>
  </si>
  <si>
    <t>N 30-19-31.8</t>
  </si>
  <si>
    <t>W 081-27-36.4</t>
  </si>
  <si>
    <t>2274</t>
  </si>
  <si>
    <t>609</t>
  </si>
  <si>
    <t>W 081-31-21.7</t>
  </si>
  <si>
    <t>N 30-19-57.6</t>
  </si>
  <si>
    <t>W 081-31-19.0</t>
  </si>
  <si>
    <t>N 30-19-54.8</t>
  </si>
  <si>
    <t>W 081-31-19.2</t>
  </si>
  <si>
    <t>N 30-19-59.9</t>
  </si>
  <si>
    <t>W 081-31-04.4</t>
  </si>
  <si>
    <t>1289</t>
  </si>
  <si>
    <t>12743</t>
  </si>
  <si>
    <t>W 081-28-27.7</t>
  </si>
  <si>
    <t>1206</t>
  </si>
  <si>
    <t>855</t>
  </si>
  <si>
    <t>N 30-19-58.2</t>
  </si>
  <si>
    <t>W 081-31-06.4</t>
  </si>
  <si>
    <t>2885</t>
  </si>
  <si>
    <t>N 30-17-46.3</t>
  </si>
  <si>
    <t>W 081-26-04.8</t>
  </si>
  <si>
    <t>1554</t>
  </si>
  <si>
    <t>9501</t>
  </si>
  <si>
    <t>N 30-19-20.9</t>
  </si>
  <si>
    <t>W 081-33-01.3</t>
  </si>
  <si>
    <t>9429</t>
  </si>
  <si>
    <t>N 30-21-19.1</t>
  </si>
  <si>
    <t>W 081-32-50.7</t>
  </si>
  <si>
    <t>9900</t>
  </si>
  <si>
    <t>12/31/1962</t>
  </si>
  <si>
    <t>N 30-19-33.2</t>
  </si>
  <si>
    <t>W 081-32-38.3</t>
  </si>
  <si>
    <t>9735</t>
  </si>
  <si>
    <t>W 081-32-43.5</t>
  </si>
  <si>
    <t>3739</t>
  </si>
  <si>
    <t>N 30-21-35.8</t>
  </si>
  <si>
    <t>W 081-29-00.5</t>
  </si>
  <si>
    <t>1397</t>
  </si>
  <si>
    <t>14880</t>
  </si>
  <si>
    <t>32226</t>
  </si>
  <si>
    <t>N 30-30-32.5</t>
  </si>
  <si>
    <t>W 081-35-01.0</t>
  </si>
  <si>
    <t>6359</t>
  </si>
  <si>
    <t>N 30-24-17.1</t>
  </si>
  <si>
    <t>W 081-30-24.2</t>
  </si>
  <si>
    <t>1446</t>
  </si>
  <si>
    <t>9350</t>
  </si>
  <si>
    <t>N 30-23-27.5</t>
  </si>
  <si>
    <t>W 081-26-24.0</t>
  </si>
  <si>
    <t>9363</t>
  </si>
  <si>
    <t>N 30-23-30.3</t>
  </si>
  <si>
    <t>W 081-26-24.6</t>
  </si>
  <si>
    <t>HUGUENOT PARK</t>
  </si>
  <si>
    <t>N 30-24-40.6</t>
  </si>
  <si>
    <t>W 081-25-12.4</t>
  </si>
  <si>
    <t>N 30-24-25.8</t>
  </si>
  <si>
    <t>W 081-24-51.3</t>
  </si>
  <si>
    <t>2186</t>
  </si>
  <si>
    <t>8375</t>
  </si>
  <si>
    <t>32234</t>
  </si>
  <si>
    <t>N 30-12-05.8</t>
  </si>
  <si>
    <t>W 082-00-33.0</t>
  </si>
  <si>
    <t>18065</t>
  </si>
  <si>
    <t>N 30-12-00.4</t>
  </si>
  <si>
    <t>W 082-00-20.5</t>
  </si>
  <si>
    <t>N 30-12-00.1</t>
  </si>
  <si>
    <t>W 082-00-19.2</t>
  </si>
  <si>
    <t>N 30-12-05.0</t>
  </si>
  <si>
    <t>W 082-00-16.9</t>
  </si>
  <si>
    <t>1048</t>
  </si>
  <si>
    <t>5110</t>
  </si>
  <si>
    <t>N 30-13-38.2</t>
  </si>
  <si>
    <t>W 082-02-11.2</t>
  </si>
  <si>
    <t>N 30-12-02.5</t>
  </si>
  <si>
    <t>W 082-00-29.4</t>
  </si>
  <si>
    <t>1497</t>
  </si>
  <si>
    <t>MAXVILLE STATION 43</t>
  </si>
  <si>
    <t>18255</t>
  </si>
  <si>
    <t>N 30-12-01.6</t>
  </si>
  <si>
    <t>W 082-00-29.6</t>
  </si>
  <si>
    <t>N 30-12-01.7</t>
  </si>
  <si>
    <t>W 082-00.29.7</t>
  </si>
  <si>
    <t>W 081-58-49.4</t>
  </si>
  <si>
    <t>2059</t>
  </si>
  <si>
    <t>N 30-13-32.7</t>
  </si>
  <si>
    <t>W 082-02-24.0</t>
  </si>
  <si>
    <t>1395</t>
  </si>
  <si>
    <t>6130</t>
  </si>
  <si>
    <t>32244</t>
  </si>
  <si>
    <t>N 30-12-15.1</t>
  </si>
  <si>
    <t>W 081-41-36.6</t>
  </si>
  <si>
    <t>N 30-14-14.5</t>
  </si>
  <si>
    <t>W 081-47-30.8</t>
  </si>
  <si>
    <t>N 30-14-09.9</t>
  </si>
  <si>
    <t>W 081-47-27.9</t>
  </si>
  <si>
    <t>1606</t>
  </si>
  <si>
    <t>5423</t>
  </si>
  <si>
    <t>N 30-14-52.7</t>
  </si>
  <si>
    <t>W 081-44-17.4</t>
  </si>
  <si>
    <t>1416</t>
  </si>
  <si>
    <t>8533</t>
  </si>
  <si>
    <t>N 30-11-30.2</t>
  </si>
  <si>
    <t>W 081-45-25.2</t>
  </si>
  <si>
    <t>N 30-11-31.1</t>
  </si>
  <si>
    <t>W 081-45-24.3</t>
  </si>
  <si>
    <t>6045</t>
  </si>
  <si>
    <t>N 30-14-46.2</t>
  </si>
  <si>
    <t>W 081-44-20.9</t>
  </si>
  <si>
    <t>N 30-14-46.3</t>
  </si>
  <si>
    <t>W 081-44-22.8</t>
  </si>
  <si>
    <t>1479</t>
  </si>
  <si>
    <t>7708</t>
  </si>
  <si>
    <t>N 30-14-25.9</t>
  </si>
  <si>
    <t>W 081-46-28.9</t>
  </si>
  <si>
    <t>N 30-14-25.2</t>
  </si>
  <si>
    <t>W 081-46-31.2</t>
  </si>
  <si>
    <t>1173</t>
  </si>
  <si>
    <t>5198</t>
  </si>
  <si>
    <t>N 30-13-56.6</t>
  </si>
  <si>
    <t>W 081-43-01.4</t>
  </si>
  <si>
    <t>N 30-13-48.0</t>
  </si>
  <si>
    <t>W 081-42-59.2</t>
  </si>
  <si>
    <t>N 30-13-43.9</t>
  </si>
  <si>
    <t>W 081-43-03.7</t>
  </si>
  <si>
    <t>W 081-43-01.8</t>
  </si>
  <si>
    <t>5917</t>
  </si>
  <si>
    <t>N 30-14-42.2</t>
  </si>
  <si>
    <t>W 081-44-12.3</t>
  </si>
  <si>
    <t>7730</t>
  </si>
  <si>
    <t>N 30-14-20.3</t>
  </si>
  <si>
    <t>W 081-46-30.1</t>
  </si>
  <si>
    <t>N 30-14-20.4</t>
  </si>
  <si>
    <t>W 081-46-31.0</t>
  </si>
  <si>
    <t>2185</t>
  </si>
  <si>
    <t>7973</t>
  </si>
  <si>
    <t>N 30-12-05.2</t>
  </si>
  <si>
    <t>W 081-49-14.8</t>
  </si>
  <si>
    <t>2700</t>
  </si>
  <si>
    <t>32246</t>
  </si>
  <si>
    <t>N 30-17-55.6</t>
  </si>
  <si>
    <t>W 081-30-31.5</t>
  </si>
  <si>
    <t>1420</t>
  </si>
  <si>
    <t>11758</t>
  </si>
  <si>
    <t>N 30-17-26.3</t>
  </si>
  <si>
    <t>W 081-30-51.2</t>
  </si>
  <si>
    <t>SOUTHSIDE ESTATES PARK</t>
  </si>
  <si>
    <t>9827</t>
  </si>
  <si>
    <t>N 30-12-53.4</t>
  </si>
  <si>
    <t>W 081-33-14.0</t>
  </si>
  <si>
    <t>1422</t>
  </si>
  <si>
    <t>BROOKVIEW PARK</t>
  </si>
  <si>
    <t>10441</t>
  </si>
  <si>
    <t>N 30-19-04.3</t>
  </si>
  <si>
    <t>W 081-31-43.5</t>
  </si>
  <si>
    <t>W 081-31-43.9</t>
  </si>
  <si>
    <t>1481</t>
  </si>
  <si>
    <t>3850</t>
  </si>
  <si>
    <t>N 30-16-34.4</t>
  </si>
  <si>
    <t>W 081-32-27.2</t>
  </si>
  <si>
    <t>2061</t>
  </si>
  <si>
    <t>2850</t>
  </si>
  <si>
    <t>32247</t>
  </si>
  <si>
    <t>N 30-17-50.0</t>
  </si>
  <si>
    <t>W 081-27-55.5</t>
  </si>
  <si>
    <t>2525</t>
  </si>
  <si>
    <t>W 081-42-22.7</t>
  </si>
  <si>
    <t>1557</t>
  </si>
  <si>
    <t>10599</t>
  </si>
  <si>
    <t>32256</t>
  </si>
  <si>
    <t>N 30-14-53.7</t>
  </si>
  <si>
    <t>W 081-32-23.2</t>
  </si>
  <si>
    <t>1493</t>
  </si>
  <si>
    <t>11026</t>
  </si>
  <si>
    <t>N 30-10-14.5</t>
  </si>
  <si>
    <t>W 081-32-40.1</t>
  </si>
  <si>
    <t>8275</t>
  </si>
  <si>
    <t>N 30-13-08.5</t>
  </si>
  <si>
    <t>W 081-34-00.1</t>
  </si>
  <si>
    <t>MAINTENANCE BUILDING - SHOP B</t>
  </si>
  <si>
    <t>555</t>
  </si>
  <si>
    <t>407</t>
  </si>
  <si>
    <t>105</t>
  </si>
  <si>
    <t>639</t>
  </si>
  <si>
    <t>12/31/1944</t>
  </si>
  <si>
    <t>347</t>
  </si>
  <si>
    <t>1131</t>
  </si>
  <si>
    <t>2634</t>
  </si>
  <si>
    <t>1333</t>
  </si>
  <si>
    <t>2639</t>
  </si>
  <si>
    <t>5710</t>
  </si>
  <si>
    <t>1129</t>
  </si>
  <si>
    <t>WEST AREA SUPPLY BUILDING</t>
  </si>
  <si>
    <t>2637</t>
  </si>
  <si>
    <t>1127</t>
  </si>
  <si>
    <t>PUBLIC WORKS-SAFETY</t>
  </si>
  <si>
    <t>2636</t>
  </si>
  <si>
    <t>2635</t>
  </si>
  <si>
    <t>COMMUNICATIONS BUILDING</t>
  </si>
  <si>
    <t>1020</t>
  </si>
  <si>
    <t>PUBLIC WORKS-FLEET</t>
  </si>
  <si>
    <t>2581</t>
  </si>
  <si>
    <t>PARTS STORAGE BUILDING</t>
  </si>
  <si>
    <t>710</t>
  </si>
  <si>
    <t>1055</t>
  </si>
  <si>
    <t>1396</t>
  </si>
  <si>
    <t>4560</t>
  </si>
  <si>
    <t>1332</t>
  </si>
  <si>
    <t>WF TOLL LOCKER SHED</t>
  </si>
  <si>
    <t>2732</t>
  </si>
  <si>
    <t>12/31/1926</t>
  </si>
  <si>
    <t>2728</t>
  </si>
  <si>
    <t>12/31/1951</t>
  </si>
  <si>
    <t>1355</t>
  </si>
  <si>
    <t>12/31/1909</t>
  </si>
  <si>
    <t>1411</t>
  </si>
  <si>
    <t>3408</t>
  </si>
  <si>
    <t>6403</t>
  </si>
  <si>
    <t>469</t>
  </si>
  <si>
    <t>3504</t>
  </si>
  <si>
    <t>PUBLIC WORKS-FLEET B</t>
  </si>
  <si>
    <t>1021</t>
  </si>
  <si>
    <t>PUBLIC WORKS-FLEET C</t>
  </si>
  <si>
    <t>1023</t>
  </si>
  <si>
    <t>PUBLIC WORKS-FLEET D</t>
  </si>
  <si>
    <t>12/31/1974</t>
  </si>
  <si>
    <t>2647</t>
  </si>
  <si>
    <t>281</t>
  </si>
  <si>
    <t>3848</t>
  </si>
  <si>
    <t>32257</t>
  </si>
  <si>
    <t>12</t>
  </si>
  <si>
    <t>13</t>
  </si>
  <si>
    <t>2809</t>
  </si>
  <si>
    <t>1826</t>
  </si>
  <si>
    <t>MANDARIN REGIONAL BRANCH LIBRARY</t>
  </si>
  <si>
    <t>3330</t>
  </si>
  <si>
    <t>MAIN ADMINISTRATION OFFICE</t>
  </si>
  <si>
    <t>4727</t>
  </si>
  <si>
    <t>SOUTH COMPOUND B-BUILDING FEMALE</t>
  </si>
  <si>
    <t>PRISON INDUSTRY STORAGE I</t>
  </si>
  <si>
    <t>PRISON INDUSTRY STORAGE II</t>
  </si>
  <si>
    <t>PRISON INDUSTRY KITCHEN STORAGE</t>
  </si>
  <si>
    <t>MONTGOMERY CORRECTIONAL-HORSE</t>
  </si>
  <si>
    <t>K9 BUILDING/KENNEL</t>
  </si>
  <si>
    <t>MONTGOMERY CORRECTIONAL-GAS</t>
  </si>
  <si>
    <t>GAS AND SERVICE AREA</t>
  </si>
  <si>
    <t>2149</t>
  </si>
  <si>
    <t>14</t>
  </si>
  <si>
    <t>SAN MATEO ELEMENTARY CONCESSION</t>
  </si>
  <si>
    <t>15</t>
  </si>
  <si>
    <t>3740</t>
  </si>
  <si>
    <t>16</t>
  </si>
  <si>
    <t>17</t>
  </si>
  <si>
    <t>18</t>
  </si>
  <si>
    <t>19</t>
  </si>
  <si>
    <t>845</t>
  </si>
  <si>
    <t>20</t>
  </si>
  <si>
    <t>CARLUCCI PARK</t>
  </si>
  <si>
    <t>21</t>
  </si>
  <si>
    <t>N 30-23-57.9</t>
  </si>
  <si>
    <t>W 081-28-35.5</t>
  </si>
  <si>
    <t>BETHESDA COMPLEX-COMMUNITY</t>
  </si>
  <si>
    <t>10790</t>
  </si>
  <si>
    <t>BETHESDA COMPLEX-CABIN</t>
  </si>
  <si>
    <t>2433</t>
  </si>
  <si>
    <t>355</t>
  </si>
  <si>
    <t>6272</t>
  </si>
  <si>
    <t>32217</t>
  </si>
  <si>
    <t>11306</t>
  </si>
  <si>
    <t>12851</t>
  </si>
  <si>
    <t>OLD FIRE STATION 47/STORAGE</t>
  </si>
  <si>
    <t>10114</t>
  </si>
  <si>
    <t>FIRE/ RESCUE 71</t>
  </si>
  <si>
    <t>396</t>
  </si>
  <si>
    <t>PUBLIC WORKS-SOLID WASTE A</t>
  </si>
  <si>
    <t>1031</t>
  </si>
  <si>
    <t>1046</t>
  </si>
  <si>
    <t>PUBLIC WORKS-HAZARDOUS WASTE</t>
  </si>
  <si>
    <t>HOUSEHOLD HAZARD WASTE BUILDING</t>
  </si>
  <si>
    <t>2675</t>
  </si>
  <si>
    <t>1134</t>
  </si>
  <si>
    <t>1162</t>
  </si>
  <si>
    <t>MAIN BUILDING (SIGNALS AND SIGNS)</t>
  </si>
  <si>
    <t>1007</t>
  </si>
  <si>
    <t>1163</t>
  </si>
  <si>
    <t>WAREHOUSE AND STORAGE</t>
  </si>
  <si>
    <t>1164</t>
  </si>
  <si>
    <t>STORAGE BUILDING AND MACHINE SHOP</t>
  </si>
  <si>
    <t>1165</t>
  </si>
  <si>
    <t>WAREHOUSE STORAGE AND REPAIR SHOP</t>
  </si>
  <si>
    <t>1166</t>
  </si>
  <si>
    <t>1167</t>
  </si>
  <si>
    <t>1211</t>
  </si>
  <si>
    <t>EASTPORT-WELDING</t>
  </si>
  <si>
    <t>1212</t>
  </si>
  <si>
    <t>EASTPORT-CONTAINER A</t>
  </si>
  <si>
    <t>STORAGE SHED/ CONTAINER 2</t>
  </si>
  <si>
    <t>1213</t>
  </si>
  <si>
    <t>EASTPORT-CONTAINER B</t>
  </si>
  <si>
    <t>ANIMAL CARE-MANDARIN ADOPTION BUILDING</t>
  </si>
  <si>
    <t>1256</t>
  </si>
  <si>
    <t>1264</t>
  </si>
  <si>
    <t>10503</t>
  </si>
  <si>
    <t>1282</t>
  </si>
  <si>
    <t>MONTGOMERY CORRECTIONAL-CLASSROO</t>
  </si>
  <si>
    <t>SATELLITE CLASSROOM</t>
  </si>
  <si>
    <t>1288</t>
  </si>
  <si>
    <t>3461</t>
  </si>
  <si>
    <t>1294</t>
  </si>
  <si>
    <t>1295</t>
  </si>
  <si>
    <t>PW ROWGM West Yard Storage BUILDING</t>
  </si>
  <si>
    <t>1319</t>
  </si>
  <si>
    <t>1330</t>
  </si>
  <si>
    <t>METER STORAGE SHED</t>
  </si>
  <si>
    <t>1331</t>
  </si>
  <si>
    <t>METAL STORAGE BUILDING</t>
  </si>
  <si>
    <t>1354</t>
  </si>
  <si>
    <t>JSO WOLFSON SUBSTATION - ZONE 3</t>
  </si>
  <si>
    <t>7100</t>
  </si>
  <si>
    <t>1398</t>
  </si>
  <si>
    <t>10151</t>
  </si>
  <si>
    <t>212</t>
  </si>
  <si>
    <t>1423</t>
  </si>
  <si>
    <t>7641</t>
  </si>
  <si>
    <t>1442</t>
  </si>
  <si>
    <t>2814</t>
  </si>
  <si>
    <t>11246</t>
  </si>
  <si>
    <t>1450</t>
  </si>
  <si>
    <t>3327</t>
  </si>
  <si>
    <t>1483</t>
  </si>
  <si>
    <t>3780</t>
  </si>
  <si>
    <t>8203</t>
  </si>
  <si>
    <t>GUN RANGE STORAGE/VAULT 1</t>
  </si>
  <si>
    <t>GUN RANGE-VAULT</t>
  </si>
  <si>
    <t>GUN RANGE STORAGE/VAULT 2</t>
  </si>
  <si>
    <t>GUN RANGE STORAGE/VAULT 3</t>
  </si>
  <si>
    <t>POLICE SUBSTATION-ZONE 6</t>
  </si>
  <si>
    <t>1593</t>
  </si>
  <si>
    <t>ZONE 6</t>
  </si>
  <si>
    <t>936</t>
  </si>
  <si>
    <t>N 30-25-43.3</t>
  </si>
  <si>
    <t>W 081-39-37.6</t>
  </si>
  <si>
    <t>1599</t>
  </si>
  <si>
    <t>GUN RANGE CLASSROOM 1</t>
  </si>
  <si>
    <t>2000</t>
  </si>
  <si>
    <t>PUBLIC WORKS-POLICE</t>
  </si>
  <si>
    <t>POLICE SUBSTATION ZONE 5 AND REENT</t>
  </si>
  <si>
    <t>1024</t>
  </si>
  <si>
    <t>GUN RANGE CLASSROOM 2</t>
  </si>
  <si>
    <t>GUN RANGE CLASSROOM 3</t>
  </si>
  <si>
    <t>RIFLE RANGE OFFICE 1</t>
  </si>
  <si>
    <t>RIFLE RANGE OFFICE 2</t>
  </si>
  <si>
    <t>STORAGE BUILDING BY RANGE I</t>
  </si>
  <si>
    <t>STORAGE BUILDING BY RIFLE RANGE</t>
  </si>
  <si>
    <t>B-WING ANTENNA &amp; COMMUNICATIONS</t>
  </si>
  <si>
    <t>2004</t>
  </si>
  <si>
    <t>GUN RANGE-PRESS</t>
  </si>
  <si>
    <t>2005</t>
  </si>
  <si>
    <t>MONTGOMERY CORRECTIONAL-TOWER</t>
  </si>
  <si>
    <t>2290</t>
  </si>
  <si>
    <t>BIOHAZARD STORAGE SHED-FEMALES</t>
  </si>
  <si>
    <t>4715</t>
  </si>
  <si>
    <t>MONTGOMERY CORRECTIONAL-BIOF</t>
  </si>
  <si>
    <t>BIOHAZARD STORAGE SHED-MALES</t>
  </si>
  <si>
    <t>MONTGOMERY CORRECTIONAL-BIOM</t>
  </si>
  <si>
    <t>14097</t>
  </si>
  <si>
    <t>10931</t>
  </si>
  <si>
    <t>MONTGOMERY CORRECTIONAL-MAIL</t>
  </si>
  <si>
    <t>MAIL COORDINATORS OFFICE/ INMATE</t>
  </si>
  <si>
    <t>MONTGOMERY CORRECTIONAL-NCLINIC</t>
  </si>
  <si>
    <t>SUPPLY WAREHOUSE NEW BUILDING</t>
  </si>
  <si>
    <t>1614</t>
  </si>
  <si>
    <t>6010</t>
  </si>
  <si>
    <t>1624</t>
  </si>
  <si>
    <t>1714</t>
  </si>
  <si>
    <t>CECIL FIELD GOLF COURSE</t>
  </si>
  <si>
    <t>13725</t>
  </si>
  <si>
    <t>1693</t>
  </si>
  <si>
    <t>13721</t>
  </si>
  <si>
    <t>1458</t>
  </si>
  <si>
    <t>10727</t>
  </si>
  <si>
    <t>1649</t>
  </si>
  <si>
    <t>13628</t>
  </si>
  <si>
    <t>1661</t>
  </si>
  <si>
    <t>13609</t>
  </si>
  <si>
    <t>1662</t>
  </si>
  <si>
    <t>13607</t>
  </si>
  <si>
    <t>1668</t>
  </si>
  <si>
    <t>2023</t>
  </si>
  <si>
    <t>5973</t>
  </si>
  <si>
    <t>1634</t>
  </si>
  <si>
    <t>5922</t>
  </si>
  <si>
    <t>1640</t>
  </si>
  <si>
    <t>5967</t>
  </si>
  <si>
    <t>1635</t>
  </si>
  <si>
    <t>5970</t>
  </si>
  <si>
    <t>1638</t>
  </si>
  <si>
    <t>5968</t>
  </si>
  <si>
    <t>1639</t>
  </si>
  <si>
    <t>5966</t>
  </si>
  <si>
    <t>1641</t>
  </si>
  <si>
    <t>5965</t>
  </si>
  <si>
    <t>1646</t>
  </si>
  <si>
    <t>13638</t>
  </si>
  <si>
    <t>1647</t>
  </si>
  <si>
    <t>13629</t>
  </si>
  <si>
    <t>1648</t>
  </si>
  <si>
    <t>13627</t>
  </si>
  <si>
    <t>1651</t>
  </si>
  <si>
    <t>13626</t>
  </si>
  <si>
    <t>13624</t>
  </si>
  <si>
    <t>1656</t>
  </si>
  <si>
    <t>13617</t>
  </si>
  <si>
    <t>1657</t>
  </si>
  <si>
    <t>13615</t>
  </si>
  <si>
    <t>1659</t>
  </si>
  <si>
    <t>13613</t>
  </si>
  <si>
    <t>1660</t>
  </si>
  <si>
    <t>1664</t>
  </si>
  <si>
    <t>13604</t>
  </si>
  <si>
    <t>1665</t>
  </si>
  <si>
    <t>13602</t>
  </si>
  <si>
    <t>1666</t>
  </si>
  <si>
    <t>13603</t>
  </si>
  <si>
    <t>1667</t>
  </si>
  <si>
    <t>1670</t>
  </si>
  <si>
    <t>5915</t>
  </si>
  <si>
    <t>1671</t>
  </si>
  <si>
    <t>5913</t>
  </si>
  <si>
    <t>1673</t>
  </si>
  <si>
    <t>5911</t>
  </si>
  <si>
    <t>1674</t>
  </si>
  <si>
    <t>5909</t>
  </si>
  <si>
    <t>1645</t>
  </si>
  <si>
    <t>5963</t>
  </si>
  <si>
    <t>1637</t>
  </si>
  <si>
    <t>5969</t>
  </si>
  <si>
    <t>1636</t>
  </si>
  <si>
    <t>5971</t>
  </si>
  <si>
    <t>1650</t>
  </si>
  <si>
    <t>13625</t>
  </si>
  <si>
    <t>1653</t>
  </si>
  <si>
    <t>13621</t>
  </si>
  <si>
    <t>1654</t>
  </si>
  <si>
    <t>13620</t>
  </si>
  <si>
    <t>1658</t>
  </si>
  <si>
    <t>13608</t>
  </si>
  <si>
    <t>1663</t>
  </si>
  <si>
    <t>13606</t>
  </si>
  <si>
    <t>1669</t>
  </si>
  <si>
    <t>5916</t>
  </si>
  <si>
    <t>1672</t>
  </si>
  <si>
    <t>5914</t>
  </si>
  <si>
    <t>1655</t>
  </si>
  <si>
    <t>1681</t>
  </si>
  <si>
    <t>6127</t>
  </si>
  <si>
    <t>1680</t>
  </si>
  <si>
    <t>6133</t>
  </si>
  <si>
    <t>1682</t>
  </si>
  <si>
    <t>6121</t>
  </si>
  <si>
    <t>1683</t>
  </si>
  <si>
    <t>1684</t>
  </si>
  <si>
    <t>6109</t>
  </si>
  <si>
    <t>1685</t>
  </si>
  <si>
    <t>6103</t>
  </si>
  <si>
    <t>1686</t>
  </si>
  <si>
    <t>6102</t>
  </si>
  <si>
    <t>1687</t>
  </si>
  <si>
    <t>6108</t>
  </si>
  <si>
    <t>1688</t>
  </si>
  <si>
    <t>6114</t>
  </si>
  <si>
    <t>1689</t>
  </si>
  <si>
    <t>6120</t>
  </si>
  <si>
    <t>1690</t>
  </si>
  <si>
    <t>6126</t>
  </si>
  <si>
    <t>1691</t>
  </si>
  <si>
    <t>6132</t>
  </si>
  <si>
    <t>1692</t>
  </si>
  <si>
    <t>6138</t>
  </si>
  <si>
    <t>2021</t>
  </si>
  <si>
    <t>13610</t>
  </si>
  <si>
    <t>1625</t>
  </si>
  <si>
    <t>6016</t>
  </si>
  <si>
    <t>1615</t>
  </si>
  <si>
    <t>6012</t>
  </si>
  <si>
    <t>1329</t>
  </si>
  <si>
    <t>CRYSTAL SPRINGS ROAD PARK</t>
  </si>
  <si>
    <t>W 081-37-06.8</t>
  </si>
  <si>
    <t>1223</t>
  </si>
  <si>
    <t>13616</t>
  </si>
  <si>
    <t>1393</t>
  </si>
  <si>
    <t>1729</t>
  </si>
  <si>
    <t>1751</t>
  </si>
  <si>
    <t>8140</t>
  </si>
  <si>
    <t>N 30-09-59.0</t>
  </si>
  <si>
    <t>W 081-38-51.1</t>
  </si>
  <si>
    <t>N 30-09-59.9</t>
  </si>
  <si>
    <t>W 081-38-49.8</t>
  </si>
  <si>
    <t>FIRE STATION 45</t>
  </si>
  <si>
    <t>15725</t>
  </si>
  <si>
    <t>N 30-31-31.9</t>
  </si>
  <si>
    <t>W 081-28-48.2</t>
  </si>
  <si>
    <t>1498</t>
  </si>
  <si>
    <t>BLACK HAMMOCK ISLAND</t>
  </si>
  <si>
    <t>TOWER</t>
  </si>
  <si>
    <t>15770</t>
  </si>
  <si>
    <t>N 30-31-08.9</t>
  </si>
  <si>
    <t>W 081-28-52.3</t>
  </si>
  <si>
    <t>1385</t>
  </si>
  <si>
    <t>JEA MAYPORT</t>
  </si>
  <si>
    <t>2972</t>
  </si>
  <si>
    <t>32233</t>
  </si>
  <si>
    <t>N 30-22-17.6</t>
  </si>
  <si>
    <t>W 081-24-38.5</t>
  </si>
  <si>
    <t>1725</t>
  </si>
  <si>
    <t>850</t>
  </si>
  <si>
    <t>N 30-19-57.4</t>
  </si>
  <si>
    <t>W 081-24-08.6</t>
  </si>
  <si>
    <t>MAYPORT COMMUNITY CENTER</t>
  </si>
  <si>
    <t>4870</t>
  </si>
  <si>
    <t>985</t>
  </si>
  <si>
    <t>HANNA PARK LIFE GUARD STATION</t>
  </si>
  <si>
    <t>110</t>
  </si>
  <si>
    <t>HANNA PARK STORE</t>
  </si>
  <si>
    <t>HANNA PARK REC CENTER</t>
  </si>
  <si>
    <t>HANNA PARK CAMPGROUND RESTROOM</t>
  </si>
  <si>
    <t>HANNA PARK LAKE RESTROOM</t>
  </si>
  <si>
    <t>HANNA PARK LOT 8 RESTROOM</t>
  </si>
  <si>
    <t>12/31/1914</t>
  </si>
  <si>
    <t>35</t>
  </si>
  <si>
    <t>41</t>
  </si>
  <si>
    <t>N 30-14-15.6</t>
  </si>
  <si>
    <t>N 30-14-14.2</t>
  </si>
  <si>
    <t>W 081-47-31.0</t>
  </si>
  <si>
    <t>2126</t>
  </si>
  <si>
    <t>2131</t>
  </si>
  <si>
    <t>2151</t>
  </si>
  <si>
    <t>JOSEPH COMMUNITY CENTER</t>
  </si>
  <si>
    <t>LO W 081-26.9</t>
  </si>
  <si>
    <t>LINCOLN VILLA COMMUNITY CENTER</t>
  </si>
  <si>
    <t>MONCRIEF COMMUNITY CENTER</t>
  </si>
  <si>
    <t>N 30-22-34.0</t>
  </si>
  <si>
    <t>WESTSIDE SENIOR CENTER</t>
  </si>
  <si>
    <t>SOUTEL COMMUNITY HEALTH ANNEX</t>
  </si>
  <si>
    <t>N 30-23-38.4</t>
  </si>
  <si>
    <t>RIVERVIEW COMMUNITY HEALTH ANNEX</t>
  </si>
  <si>
    <t>W 081-41-18.2</t>
  </si>
  <si>
    <t>FOREST PARK COMMUNITY HEALTH</t>
  </si>
  <si>
    <t>WOODLAND ACRES SENIOR CENTER</t>
  </si>
  <si>
    <t>465</t>
  </si>
  <si>
    <t>WEST JAX COMMUNITY HEALTH ANNEX</t>
  </si>
  <si>
    <t>DALLAS GRAHAM BRANCH LIBRARY</t>
  </si>
  <si>
    <t>W 081-40-33.9</t>
  </si>
  <si>
    <t>WEBB WESCONNETT LIBRARY</t>
  </si>
  <si>
    <t>BRADHAM BROOKS BRANCH LIBRARY</t>
  </si>
  <si>
    <t>VACANT BUILDING</t>
  </si>
  <si>
    <t>WAREHOUSE AND STORAGE SITE</t>
  </si>
  <si>
    <t>W 081-46-12.3</t>
  </si>
  <si>
    <t>N 30-19-39.8</t>
  </si>
  <si>
    <t>MITCHELL PARK CENTER</t>
  </si>
  <si>
    <t>N 30-25-25.8</t>
  </si>
  <si>
    <t>0284</t>
  </si>
  <si>
    <t>0316</t>
  </si>
  <si>
    <t>0366</t>
  </si>
  <si>
    <t>0385</t>
  </si>
  <si>
    <t>0426</t>
  </si>
  <si>
    <t>0452</t>
  </si>
  <si>
    <t>0463</t>
  </si>
  <si>
    <t>0472</t>
  </si>
  <si>
    <t>0479</t>
  </si>
  <si>
    <t>0481</t>
  </si>
  <si>
    <t>1104</t>
  </si>
  <si>
    <t>1304</t>
  </si>
  <si>
    <t>1368</t>
  </si>
  <si>
    <t>1374</t>
  </si>
  <si>
    <t>1375</t>
  </si>
  <si>
    <t>1376</t>
  </si>
  <si>
    <t>1378</t>
  </si>
  <si>
    <t>1379</t>
  </si>
  <si>
    <t>1380</t>
  </si>
  <si>
    <t>1382</t>
  </si>
  <si>
    <t>1383</t>
  </si>
  <si>
    <t>1384</t>
  </si>
  <si>
    <t>1387</t>
  </si>
  <si>
    <t>1388</t>
  </si>
  <si>
    <t>1391</t>
  </si>
  <si>
    <t>1394</t>
  </si>
  <si>
    <t>1496</t>
  </si>
  <si>
    <t>1499</t>
  </si>
  <si>
    <t>1542</t>
  </si>
  <si>
    <t>1553</t>
  </si>
  <si>
    <t>1555</t>
  </si>
  <si>
    <t>1586</t>
  </si>
  <si>
    <t>1600</t>
  </si>
  <si>
    <t>1602</t>
  </si>
  <si>
    <t>1604</t>
  </si>
  <si>
    <t>1605</t>
  </si>
  <si>
    <t>1724</t>
  </si>
  <si>
    <t>2010</t>
  </si>
  <si>
    <t>2188</t>
  </si>
  <si>
    <t>2278</t>
  </si>
  <si>
    <t>CHP</t>
  </si>
  <si>
    <t>HH05</t>
  </si>
  <si>
    <t>0006</t>
  </si>
  <si>
    <t>0012</t>
  </si>
  <si>
    <t>0014</t>
  </si>
  <si>
    <t>0074</t>
  </si>
  <si>
    <t>METRO PARK</t>
  </si>
  <si>
    <t>BOONE PARK TOOLHOUSE/RESTROOMS</t>
  </si>
  <si>
    <t>DURKEE FIELD</t>
  </si>
  <si>
    <t>HENRY T. JONES PARK</t>
  </si>
  <si>
    <t>FIRE STATION 27</t>
  </si>
  <si>
    <t>FIRE STATION 48</t>
  </si>
  <si>
    <t>ST. VINCENT HOSPITAL</t>
  </si>
  <si>
    <t>ST LUKES HOSPITAL</t>
  </si>
  <si>
    <t>RE-ENTRY CENTER</t>
  </si>
  <si>
    <t>NORTHWEST BRANCH LIBRARY</t>
  </si>
  <si>
    <t>TRANSMITTER</t>
  </si>
  <si>
    <t>UNIVERSITY PARK</t>
  </si>
  <si>
    <t>HOGAN CREEK</t>
  </si>
  <si>
    <t>WATER TOWER</t>
  </si>
  <si>
    <t>EMERGENCY ASSISTANCE</t>
  </si>
  <si>
    <t>INDEPENDENT LIVING PROGRAM</t>
  </si>
  <si>
    <t>G &amp; G</t>
  </si>
  <si>
    <t>ADAMS STREET</t>
  </si>
  <si>
    <t>CECIL FIELD</t>
  </si>
  <si>
    <t>ROYAL TERRACE</t>
  </si>
  <si>
    <t>CLERK OF COURT</t>
  </si>
  <si>
    <t>ROCK 105</t>
  </si>
  <si>
    <t>BEACHES FAMILY HEALTH CENTER</t>
  </si>
  <si>
    <t>WAREHOUSE/RESTROOM BUILDING</t>
  </si>
  <si>
    <t>GREEN ROOM/OFFICE BUILDING</t>
  </si>
  <si>
    <t>DRESSSING/SHOWER BUILDING</t>
  </si>
  <si>
    <t>OLD RESTROOM BUILDING</t>
  </si>
  <si>
    <t>POOL</t>
  </si>
  <si>
    <t>RESCUE 10</t>
  </si>
  <si>
    <t>RESCUE 28</t>
  </si>
  <si>
    <t>HANGAR BUILDING 2</t>
  </si>
  <si>
    <t>TALKING BOOKS</t>
  </si>
  <si>
    <t>BARNETT CENTER</t>
  </si>
  <si>
    <t>MONTGOMERY CORRECTIONS</t>
  </si>
  <si>
    <t>BELL SOUTH</t>
  </si>
  <si>
    <t>JEA</t>
  </si>
  <si>
    <t>FFS</t>
  </si>
  <si>
    <t>RIVERSIDE</t>
  </si>
  <si>
    <t>JEA ARLINGTON</t>
  </si>
  <si>
    <t>PABLO TOWERS</t>
  </si>
  <si>
    <t>JEA NORMANDY</t>
  </si>
  <si>
    <t>MANDARIN</t>
  </si>
  <si>
    <t>RESTROOM BUILDING (VACANT)</t>
  </si>
  <si>
    <t>RESTROOMS</t>
  </si>
  <si>
    <t>BUILDING</t>
  </si>
  <si>
    <t>ZONE 1</t>
  </si>
  <si>
    <t>ZONE 4</t>
  </si>
  <si>
    <t>LORETTA ROAD</t>
  </si>
  <si>
    <t>CHEMICAL STORAGE</t>
  </si>
  <si>
    <t>QUONSET HUT</t>
  </si>
  <si>
    <t>GOLF COURSE MAINTENANCE</t>
  </si>
  <si>
    <t>PAVILLION 2</t>
  </si>
  <si>
    <t>FIRE STATION 56</t>
  </si>
  <si>
    <t>DENTAL CLINIC</t>
  </si>
  <si>
    <t>BEACH OFFICE</t>
  </si>
  <si>
    <t>SOUTH BELL BUILDING</t>
  </si>
  <si>
    <t>INTERNATIONAL AIRPORT</t>
  </si>
  <si>
    <t>TRANSMITTER TOWER</t>
  </si>
  <si>
    <t>5258-7</t>
  </si>
  <si>
    <t>5528-13</t>
  </si>
  <si>
    <t>PARK AVENUE</t>
  </si>
  <si>
    <t>GRANT ROAD</t>
  </si>
  <si>
    <t>BLOUNT ISLAND DRIVE</t>
  </si>
  <si>
    <t>BARRS STREET</t>
  </si>
  <si>
    <t>BELFORT ROAD</t>
  </si>
  <si>
    <t>NEW BERLIN ROAD</t>
  </si>
  <si>
    <t>GARDEN STREET</t>
  </si>
  <si>
    <t>ARMSDALE ROAD</t>
  </si>
  <si>
    <t>STEPP AVENUE</t>
  </si>
  <si>
    <t>SOUTH 3RD STREET</t>
  </si>
  <si>
    <t>HAMPTON ROAD</t>
  </si>
  <si>
    <t>R GATLING ROAD</t>
  </si>
  <si>
    <t>BROAD STREET</t>
  </si>
  <si>
    <t>11TH STREET</t>
  </si>
  <si>
    <t>BLANDING BOULEVARD</t>
  </si>
  <si>
    <t>GEORGIA STREET</t>
  </si>
  <si>
    <t>STIRCKLAND ROAD</t>
  </si>
  <si>
    <t>CRYSTAL SPRINGS RD</t>
  </si>
  <si>
    <t>AERONAUTICAL CIRCLE</t>
  </si>
  <si>
    <t>WEST 45TH STREET</t>
  </si>
  <si>
    <t>6TH AVENUE</t>
  </si>
  <si>
    <t>WONDERWOOD DR.</t>
  </si>
  <si>
    <t>10TH AVENUE SOUTH</t>
  </si>
  <si>
    <t>N 30-19-13.2</t>
  </si>
  <si>
    <t>W 081-38-25.4</t>
  </si>
  <si>
    <t>N 30-19-15.5</t>
  </si>
  <si>
    <t>N 30-19-14.7</t>
  </si>
  <si>
    <t>W 081-38-20.9</t>
  </si>
  <si>
    <t>N 30-19-09.7</t>
  </si>
  <si>
    <t>W 081-38-19.5</t>
  </si>
  <si>
    <t>N 30-19-10.1</t>
  </si>
  <si>
    <t>W 081-38-15.8</t>
  </si>
  <si>
    <t>N 30-19-11.4</t>
  </si>
  <si>
    <t>W 081-38-14.7</t>
  </si>
  <si>
    <t>N 30-21-16.7</t>
  </si>
  <si>
    <t>W 081-32-51.8</t>
  </si>
  <si>
    <t>N 30-17-12.3</t>
  </si>
  <si>
    <t>W 081-35-28.6</t>
  </si>
  <si>
    <t>N 30-17-49.1</t>
  </si>
  <si>
    <t>W 081-42-37.3</t>
  </si>
  <si>
    <t>W 081-42-06.4</t>
  </si>
  <si>
    <t>N 30-20-46.7</t>
  </si>
  <si>
    <t>W 081-40-27.4</t>
  </si>
  <si>
    <t>N 30-16-54.2</t>
  </si>
  <si>
    <t>W 081-38-15.9</t>
  </si>
  <si>
    <t>N 30-24-39.6</t>
  </si>
  <si>
    <t>W 081-25-13.8</t>
  </si>
  <si>
    <t>N 30-19-15.8</t>
  </si>
  <si>
    <t>W 081-38-28.9</t>
  </si>
  <si>
    <t>N 30-21-59.6</t>
  </si>
  <si>
    <t>W 081-35-38.8</t>
  </si>
  <si>
    <t>N 30-19-12.4</t>
  </si>
  <si>
    <t>W 081-38-24.6</t>
  </si>
  <si>
    <t>N 30-19-10.4</t>
  </si>
  <si>
    <t>N 30-24-33.0</t>
  </si>
  <si>
    <t>W 081-32-12.6</t>
  </si>
  <si>
    <t>N 30-18-34.1</t>
  </si>
  <si>
    <t>W 081-41-22.3</t>
  </si>
  <si>
    <t>N 30-15-11.8</t>
  </si>
  <si>
    <t>W 081-34-56.2</t>
  </si>
  <si>
    <t>W 081-38-59.2</t>
  </si>
  <si>
    <t>W 081-36-40.3</t>
  </si>
  <si>
    <t>N 30-23-13.9</t>
  </si>
  <si>
    <t>W 081-41-10.9</t>
  </si>
  <si>
    <t>N 30-19-37.4</t>
  </si>
  <si>
    <t>W 081-39-34.6</t>
  </si>
  <si>
    <t>W 081-43-36.9</t>
  </si>
  <si>
    <t>N 30-27-56.3</t>
  </si>
  <si>
    <t>W 081-35-30.8</t>
  </si>
  <si>
    <t>N 30-25-02.4</t>
  </si>
  <si>
    <t>W 081-50-56.0</t>
  </si>
  <si>
    <t>N 30-27-14.8</t>
  </si>
  <si>
    <t>W 081-41-54.1</t>
  </si>
  <si>
    <t>N 30-22-24.4</t>
  </si>
  <si>
    <t>W 081-40-55.5</t>
  </si>
  <si>
    <t>N 30-21-35.7</t>
  </si>
  <si>
    <t>W 081-29-37.6</t>
  </si>
  <si>
    <t>N 30-15-36.3</t>
  </si>
  <si>
    <t>W 081-36-33.0</t>
  </si>
  <si>
    <t>N 30-17-13.1</t>
  </si>
  <si>
    <t>W 081-23-33.5</t>
  </si>
  <si>
    <t>N 30-15-42.1</t>
  </si>
  <si>
    <t>W 081-26-14.7</t>
  </si>
  <si>
    <t>N 30-14-46.9</t>
  </si>
  <si>
    <t>W 081-50-39.3</t>
  </si>
  <si>
    <t>N 30-18-07.7</t>
  </si>
  <si>
    <t>W 081-49-01.7</t>
  </si>
  <si>
    <t>N 30-10-44.0</t>
  </si>
  <si>
    <t>W 081-37-21.9</t>
  </si>
  <si>
    <t>N 30-23-27.2</t>
  </si>
  <si>
    <t>W 081-26-24.7</t>
  </si>
  <si>
    <t>N 30-16-56.8</t>
  </si>
  <si>
    <t>W 081-38-14.5</t>
  </si>
  <si>
    <t>N 30-22-41.0</t>
  </si>
  <si>
    <t>W 081-37-07.6</t>
  </si>
  <si>
    <t>N 30-20-28.7</t>
  </si>
  <si>
    <t>W 081-39-41.2</t>
  </si>
  <si>
    <t>N 30-17-52.5</t>
  </si>
  <si>
    <t>W 081-24-18.3</t>
  </si>
  <si>
    <t>N 30-22-19.9</t>
  </si>
  <si>
    <t>W 081-39-51.9</t>
  </si>
  <si>
    <t>N 30-22-22.5</t>
  </si>
  <si>
    <t>W 081-39-58.7</t>
  </si>
  <si>
    <t>N 30-16-25.6</t>
  </si>
  <si>
    <t>W 081-43-55.7</t>
  </si>
  <si>
    <t>N 30-22-42.4</t>
  </si>
  <si>
    <t>W 081-40-12.8</t>
  </si>
  <si>
    <t>N 30-19-45.0</t>
  </si>
  <si>
    <t>W 081-38-25.5</t>
  </si>
  <si>
    <t>N 30-19-00.9</t>
  </si>
  <si>
    <t>W 081-25-01.8</t>
  </si>
  <si>
    <t>N 30-19-17.7</t>
  </si>
  <si>
    <t>W 081-37-51.9</t>
  </si>
  <si>
    <t>N 30-36-11.3</t>
  </si>
  <si>
    <t>W 081-35-47.5</t>
  </si>
  <si>
    <t>N 30-13-53.2</t>
  </si>
  <si>
    <t>W 081-53-44.4</t>
  </si>
  <si>
    <t>N 30-13-15.1</t>
  </si>
  <si>
    <t>W 081-52-54.5</t>
  </si>
  <si>
    <t>N 30-22-17.2</t>
  </si>
  <si>
    <t>W 081-41-19.6</t>
  </si>
  <si>
    <t>N 30-17-40.6</t>
  </si>
  <si>
    <t>W 081-23-28.7</t>
  </si>
  <si>
    <t>N 30-09-54.2</t>
  </si>
  <si>
    <t>W 081-38-48.0</t>
  </si>
  <si>
    <t>N 30-19-39.4</t>
  </si>
  <si>
    <t>W 081-39-44.4</t>
  </si>
  <si>
    <t>N 30-29-10.5</t>
  </si>
  <si>
    <t>W 081-40-42.6</t>
  </si>
  <si>
    <t>N 30-16-36.4</t>
  </si>
  <si>
    <t>W 081-33-57.1</t>
  </si>
  <si>
    <t>N 30-16-43.0</t>
  </si>
  <si>
    <t>W 081-45-23.0</t>
  </si>
  <si>
    <t>N 30-16-42.4</t>
  </si>
  <si>
    <t>W 081-23-26.4</t>
  </si>
  <si>
    <t>12/31/1888</t>
  </si>
  <si>
    <t>12/31/990</t>
  </si>
  <si>
    <t>2B</t>
  </si>
  <si>
    <t>HOUSING INTERNEXT</t>
  </si>
  <si>
    <t>N 30-13-46.4</t>
  </si>
  <si>
    <t>W 081-53-43.2</t>
  </si>
  <si>
    <t>N 30-13-44.6</t>
  </si>
  <si>
    <t>W 081-53-42.8</t>
  </si>
  <si>
    <t>N 30-13-47.3</t>
  </si>
  <si>
    <t>W 081-53-43.1</t>
  </si>
  <si>
    <t>N 30-13-48.7</t>
  </si>
  <si>
    <t>N 30-13-50.0</t>
  </si>
  <si>
    <t>W 081-53-42.7</t>
  </si>
  <si>
    <t>N 30-13-50.8</t>
  </si>
  <si>
    <t>W 081-53-41.9</t>
  </si>
  <si>
    <t>N 30-13-51.2</t>
  </si>
  <si>
    <t>W 081-53-44.7</t>
  </si>
  <si>
    <t>W 081-53-44.9</t>
  </si>
  <si>
    <t>N 30-13-48.5</t>
  </si>
  <si>
    <t>W 081-53-45.3</t>
  </si>
  <si>
    <t>W 081-53-45.5</t>
  </si>
  <si>
    <t>N 30-13-45.9</t>
  </si>
  <si>
    <t>W 081-53-45.7</t>
  </si>
  <si>
    <t>N 30-13-44.7</t>
  </si>
  <si>
    <t>W 081-53-45.8</t>
  </si>
  <si>
    <t>N 30-13-43.1</t>
  </si>
  <si>
    <t>W 081-53-45.9</t>
  </si>
  <si>
    <t>CECIL PINES BACKPORCH #140</t>
  </si>
  <si>
    <t>N 30-13-55.0</t>
  </si>
  <si>
    <t>W 081-53-30.0</t>
  </si>
  <si>
    <t>N 30-13-53.1</t>
  </si>
  <si>
    <t>W 081-53-25.6</t>
  </si>
  <si>
    <t>N 30-13-55.2</t>
  </si>
  <si>
    <t>HOUSING #144</t>
  </si>
  <si>
    <t xml:space="preserve">CECIL PINES </t>
  </si>
  <si>
    <t xml:space="preserve">BACKPORCH </t>
  </si>
  <si>
    <t>J.A. JONES</t>
  </si>
  <si>
    <t xml:space="preserve">FAMILY HOUSING </t>
  </si>
  <si>
    <t>FAMILY HOUSING/INTERNEXT #142</t>
  </si>
  <si>
    <t>DUPLEX HOUSING #416</t>
  </si>
  <si>
    <t>DUPLEX HOUSING #428</t>
  </si>
  <si>
    <t>DUPLEX HOUSING #429</t>
  </si>
  <si>
    <t>DUPLEX HOUSING #435</t>
  </si>
  <si>
    <t>HOUSING #142</t>
  </si>
  <si>
    <t>CART BARN</t>
  </si>
  <si>
    <t>CLUBHOUSE</t>
  </si>
  <si>
    <t>CONCESSIONS</t>
  </si>
  <si>
    <t>FIELD HOUSE</t>
  </si>
  <si>
    <t>SPACE BIONETICS</t>
  </si>
  <si>
    <t>ADMINISTRATION</t>
  </si>
  <si>
    <t>NORMANDY SPORTS COMPLEX</t>
  </si>
  <si>
    <t xml:space="preserve">JULIAN W BARRS </t>
  </si>
  <si>
    <t xml:space="preserve">CECIL FIELD </t>
  </si>
  <si>
    <t>DUPLEX HOUSING INTERNEXT</t>
  </si>
  <si>
    <t>N 30-13-54.2</t>
  </si>
  <si>
    <t>N 30-13-59.2</t>
  </si>
  <si>
    <t>W 081-53-25.8</t>
  </si>
  <si>
    <t>N 30-13-54.4</t>
  </si>
  <si>
    <t>W 081-53-41.4</t>
  </si>
  <si>
    <t>N 30-16-21.7</t>
  </si>
  <si>
    <t>W 081-50-22.7</t>
  </si>
  <si>
    <t>N 30-14-03.7</t>
  </si>
  <si>
    <t>N 30-14-14.6</t>
  </si>
  <si>
    <t>W 081-53-31.8</t>
  </si>
  <si>
    <t>N 30-14-15.5</t>
  </si>
  <si>
    <t>W 081-53-30.8</t>
  </si>
  <si>
    <t>N 30-14-08.2</t>
  </si>
  <si>
    <t>W 081-53-25.4</t>
  </si>
  <si>
    <t>N 30-14-02.2</t>
  </si>
  <si>
    <t>W 081-53-29.2</t>
  </si>
  <si>
    <t>N 30-14-01.9</t>
  </si>
  <si>
    <t>W 081-53-31.0</t>
  </si>
  <si>
    <t>N 30-14-05.7</t>
  </si>
  <si>
    <t>N 30-14-03.0</t>
  </si>
  <si>
    <t>W 081-53-31.1</t>
  </si>
  <si>
    <t>N 30-14-04.1</t>
  </si>
  <si>
    <t>W 081-53-31.4</t>
  </si>
  <si>
    <t>N 30-14-05.2</t>
  </si>
  <si>
    <t>W 081-53-32.1</t>
  </si>
  <si>
    <t>N 30-14-06.8</t>
  </si>
  <si>
    <t>W 081-53-30.4</t>
  </si>
  <si>
    <t>N 30-14-02.1</t>
  </si>
  <si>
    <t>W 081-53-25.5</t>
  </si>
  <si>
    <t>W 081-53-27.3</t>
  </si>
  <si>
    <t>N 30-14-03.1</t>
  </si>
  <si>
    <t>N 30-14-05.0</t>
  </si>
  <si>
    <t>N 30-14-06.2</t>
  </si>
  <si>
    <t>W 081-53-26.3</t>
  </si>
  <si>
    <t>N 30-14-10.1</t>
  </si>
  <si>
    <t>W 081-53-32.0</t>
  </si>
  <si>
    <t>N 30-14-11.1</t>
  </si>
  <si>
    <t>W 081-53-32.6</t>
  </si>
  <si>
    <t>N 30-14-12.3</t>
  </si>
  <si>
    <t>W 081-53-32.7</t>
  </si>
  <si>
    <t>N 30-14-14.8</t>
  </si>
  <si>
    <t>W 081-53-27.7</t>
  </si>
  <si>
    <t>N 30-14-14.9</t>
  </si>
  <si>
    <t>N 30-14-16.4</t>
  </si>
  <si>
    <t>W 081-53-27.5</t>
  </si>
  <si>
    <t>N 30-14-07.0</t>
  </si>
  <si>
    <t>N 30-14-09.3</t>
  </si>
  <si>
    <t>N 30-14-10.4</t>
  </si>
  <si>
    <t>N 30-14-11.4</t>
  </si>
  <si>
    <t>W 081-53-26.1</t>
  </si>
  <si>
    <t>N 30-14-12.4</t>
  </si>
  <si>
    <t>W 081-53-26.6</t>
  </si>
  <si>
    <t>N 30-14-08.5</t>
  </si>
  <si>
    <t>W 081-53-33.1</t>
  </si>
  <si>
    <t>N 30-14-04.8</t>
  </si>
  <si>
    <t>W 081-53-29.6</t>
  </si>
  <si>
    <t>N 30-14-03.4</t>
  </si>
  <si>
    <t>W 081-53-29.1</t>
  </si>
  <si>
    <t>N 30-14-07.1</t>
  </si>
  <si>
    <t>W 081-53-29.0</t>
  </si>
  <si>
    <t>N 30-14-09.0</t>
  </si>
  <si>
    <t>N 30-14-11.8</t>
  </si>
  <si>
    <t>N 30-14-07.9</t>
  </si>
  <si>
    <t>W 081-53-27.6</t>
  </si>
  <si>
    <t>N 30-14-09.6</t>
  </si>
  <si>
    <t>W 081-53-29.8</t>
  </si>
  <si>
    <t>CECIL PINES LIBRARY</t>
  </si>
  <si>
    <t>N 30-13-54.5</t>
  </si>
  <si>
    <t>FILED HOUSE</t>
  </si>
  <si>
    <t>W 081-47-12.7</t>
  </si>
  <si>
    <t>N 30-17-15.9</t>
  </si>
  <si>
    <t>W 081-47-07.7</t>
  </si>
  <si>
    <t>NORMANDY CENTER</t>
  </si>
  <si>
    <t>NORMANDY PARK</t>
  </si>
  <si>
    <t>N 30-17-59.5</t>
  </si>
  <si>
    <t>W 081-47-03.3</t>
  </si>
  <si>
    <t>FIRE STATION 40 (NEW)</t>
  </si>
  <si>
    <t>N 30-23-27.4</t>
  </si>
  <si>
    <t>W 081-26-26.5</t>
  </si>
  <si>
    <t>BLACK HAMMOCK</t>
  </si>
  <si>
    <t>N 30-31-11.2</t>
  </si>
  <si>
    <t>W 081-28-49.5</t>
  </si>
  <si>
    <t>N 30-21-49.8</t>
  </si>
  <si>
    <t>W 081-25-07.0</t>
  </si>
  <si>
    <t>FIRE STATION 41</t>
  </si>
  <si>
    <t>FIRE STATION</t>
  </si>
  <si>
    <t>HANNA PARK</t>
  </si>
  <si>
    <t>ENTRY BUILDING</t>
  </si>
  <si>
    <t>RANGERS HOUSE</t>
  </si>
  <si>
    <t>RESTROOM BUILDINGS SOUTH LOT 6-7</t>
  </si>
  <si>
    <t>CONCESSIONS SOUTH LOT 6-7</t>
  </si>
  <si>
    <t>SAINT ANDREWS CHURCH</t>
  </si>
  <si>
    <t>N 30-13-33.0</t>
  </si>
  <si>
    <t>WEST REGIONAL BRANCH LIBRARY</t>
  </si>
  <si>
    <t>CHAFFEE ROAD S</t>
  </si>
  <si>
    <t>N 30-17-37.7</t>
  </si>
  <si>
    <t>W 081-50-50.8</t>
  </si>
  <si>
    <t>LA N 30-10-03.8</t>
  </si>
  <si>
    <t>LO W 081-38-51.5</t>
  </si>
  <si>
    <t>MANDARIN PARK</t>
  </si>
  <si>
    <t>RESTROOM AND PIER</t>
  </si>
  <si>
    <t>LEGEND</t>
  </si>
  <si>
    <t>LEGENDS CENTER</t>
  </si>
  <si>
    <t>N 30-23-44.2</t>
  </si>
  <si>
    <t>W 081-43-34.4</t>
  </si>
  <si>
    <t>CITY OF JACKSONVILLE - SUBTOTAL</t>
  </si>
  <si>
    <t>PORT CENTRAL OFFICE BUILDING/TMT &amp; PCOB Computer Equipment</t>
  </si>
  <si>
    <t>Warehouse # 6</t>
  </si>
  <si>
    <t>Equipment Wash Facility (Car Port)</t>
  </si>
  <si>
    <t>CONSTRUCT EQUIPMENT FACILITY</t>
  </si>
  <si>
    <t>Container Wash Facility-Crowley (Car Port)</t>
  </si>
  <si>
    <t>11th Street Shop/Parts Bldg/Whse</t>
  </si>
  <si>
    <t>Talleyrand Operations Office</t>
  </si>
  <si>
    <t xml:space="preserve">WAREHOUSE # 9-15,000 SQ FT </t>
  </si>
  <si>
    <t>GIS-117</t>
  </si>
  <si>
    <t xml:space="preserve">Toyota Transit SHED </t>
  </si>
  <si>
    <t>GIS- 114</t>
  </si>
  <si>
    <t xml:space="preserve">Toyota "Main Box" </t>
  </si>
  <si>
    <t>GIS- 103</t>
  </si>
  <si>
    <t>Toyota office area near "main box"</t>
  </si>
  <si>
    <t>GIS- 109</t>
  </si>
  <si>
    <t>Toyota Diagnostic center</t>
  </si>
  <si>
    <t>GIS- 111</t>
  </si>
  <si>
    <t>Toyota car wash facility</t>
  </si>
  <si>
    <t>12th Street Warehouse</t>
  </si>
  <si>
    <t>Cover -Container Inspection area</t>
  </si>
  <si>
    <t>North Gate entrance</t>
  </si>
  <si>
    <t>11th Street Entrance</t>
  </si>
  <si>
    <t>Not on GIS</t>
  </si>
  <si>
    <t>19th Street Warehouse</t>
  </si>
  <si>
    <t>Crane, KONE w/Spreader</t>
  </si>
  <si>
    <t>CRANE, IHI CRANE</t>
  </si>
  <si>
    <t>CRANE IMPSA 40 LONG TON</t>
  </si>
  <si>
    <t>Hanjung Container Crane</t>
  </si>
  <si>
    <t>Rubber Tire Gantry Crane</t>
  </si>
  <si>
    <t>Fork Lift, Clark 4,000 lb.</t>
  </si>
  <si>
    <t>Forklift, Hyster</t>
  </si>
  <si>
    <t>Forklift, Hyster Forklift</t>
  </si>
  <si>
    <t>HYDRAULIC LIFT</t>
  </si>
  <si>
    <t>CONTAINER STACKER</t>
  </si>
  <si>
    <t>Tractor</t>
  </si>
  <si>
    <t>Pressure Washer, Hot/Cold H2O</t>
  </si>
  <si>
    <t>Spreader Speed Loader, HSM-6</t>
  </si>
  <si>
    <t>Twin Pick Spreader 50lt</t>
  </si>
  <si>
    <t>Snorkelift Pro-126 Platform</t>
  </si>
  <si>
    <t>Fuel Tank &amp; Pumping System</t>
  </si>
  <si>
    <t>1999 4000 Gallon Sterling Fuel Truck</t>
  </si>
  <si>
    <t>Sweeper</t>
  </si>
  <si>
    <t>Spreader</t>
  </si>
  <si>
    <t>Overheight Spreader, 50LT</t>
  </si>
  <si>
    <t>Trailer Handler</t>
  </si>
  <si>
    <t>PORTABLE BREAKROOM TMT</t>
  </si>
  <si>
    <t>RTG Trailer Grapple Mob Rack</t>
  </si>
  <si>
    <t>Intermodal Impts (Scale) RTGS</t>
  </si>
  <si>
    <t>Radio Tower &amp; Repeater</t>
  </si>
  <si>
    <t>40K Hyster forklift</t>
  </si>
  <si>
    <t>Portable Man-lift</t>
  </si>
  <si>
    <t>Office Equipment for TMT and PCOB</t>
  </si>
  <si>
    <t>Fencing 10,000 ft at $33 per sq. ft.</t>
  </si>
  <si>
    <t>Man lift (Snorkel/High Reach)</t>
  </si>
  <si>
    <t>Signage</t>
  </si>
  <si>
    <t>TALLEYRAND MARINE TERMINAL</t>
  </si>
  <si>
    <t>Talleyrand Avenue</t>
  </si>
  <si>
    <t>11th Street</t>
  </si>
  <si>
    <t>Talleyrand</t>
  </si>
  <si>
    <t>Wescott</t>
  </si>
  <si>
    <t>19th Street</t>
  </si>
  <si>
    <t>BLOUNT ISLAND MARINE TERMINAL</t>
  </si>
  <si>
    <t>AMPORTS - Accessory Wash &amp; Coating Bldg</t>
  </si>
  <si>
    <t>AMPORTS- old Volvo processing building</t>
  </si>
  <si>
    <t>AMPORTS- FlexibleInspectionShop/CarWash</t>
  </si>
  <si>
    <t>AMPORTS- Office building</t>
  </si>
  <si>
    <t>APM-pregate facility</t>
  </si>
  <si>
    <t>APM Facility New office building</t>
  </si>
  <si>
    <t>APM  interchange gate</t>
  </si>
  <si>
    <t>APM-  OPERATIONS</t>
  </si>
  <si>
    <t>APM- Tenant Roadability Bldg</t>
  </si>
  <si>
    <t>BI Administration Building</t>
  </si>
  <si>
    <t>Maintenance Office and Storage Building</t>
  </si>
  <si>
    <t>C503 EQUIP. MAINT. FAC.</t>
  </si>
  <si>
    <t>Container Freight Station</t>
  </si>
  <si>
    <t>832nd Military building</t>
  </si>
  <si>
    <t>Coastal Warehouse #3 Office</t>
  </si>
  <si>
    <t>Coastal Roadibility</t>
  </si>
  <si>
    <t>Coastal Trailer repair building</t>
  </si>
  <si>
    <t>Coastal little office</t>
  </si>
  <si>
    <t>Coastal wash facility</t>
  </si>
  <si>
    <t>FIRE &amp; RESCUE STATION B. I.</t>
  </si>
  <si>
    <t>Sea Star  entrance gate</t>
  </si>
  <si>
    <t>Sea Star  Container Repair Facility</t>
  </si>
  <si>
    <t>Sea Star  Roadibility building</t>
  </si>
  <si>
    <t>C510 SECURITY/Tenant  FACILITY</t>
  </si>
  <si>
    <t>C510 SECURITY Plaza</t>
  </si>
  <si>
    <t xml:space="preserve">SSA - TRANSIT SHED 1 </t>
  </si>
  <si>
    <t>Trailer Bridge</t>
  </si>
  <si>
    <t>US Customs</t>
  </si>
  <si>
    <t>WWL Facility OLD area now storage</t>
  </si>
  <si>
    <t>WWL Facility New area</t>
  </si>
  <si>
    <t>William Mills &amp; BI Blvd</t>
  </si>
  <si>
    <t>William Mills &amp; Maritime St</t>
  </si>
  <si>
    <t>Blount Island Blvd</t>
  </si>
  <si>
    <t>Intermodal &amp; BI Blvd</t>
  </si>
  <si>
    <t>William Mills Blvd</t>
  </si>
  <si>
    <t>Longshore Way</t>
  </si>
  <si>
    <t>Dave Rawls Blvd.</t>
  </si>
  <si>
    <t>Dave Rawls Blvd</t>
  </si>
  <si>
    <t>William Mills St.</t>
  </si>
  <si>
    <t>Dave Rawls &amp; William Mills Blvd (Old)</t>
  </si>
  <si>
    <t>Dave Rawls &amp; William Mills Blvd (NEW)</t>
  </si>
  <si>
    <t>No</t>
  </si>
  <si>
    <t>YES</t>
  </si>
  <si>
    <t>NO</t>
  </si>
  <si>
    <t>APM- C506A MAINTENANCE BLD</t>
  </si>
  <si>
    <t>CRANE, CLYDE</t>
  </si>
  <si>
    <t>ZPMC Crane</t>
  </si>
  <si>
    <t>Container Crane (Han Jung)</t>
  </si>
  <si>
    <t>CRANE, PACECO CRANE</t>
  </si>
  <si>
    <t>48' Adapter (Bromma)</t>
  </si>
  <si>
    <t>Spreader Bromma Manual</t>
  </si>
  <si>
    <t>SPREADER, BROMMA EXPANDABLE</t>
  </si>
  <si>
    <t>TWIN 20 50LT  RAM SPREADER</t>
  </si>
  <si>
    <t>Twin Pick Telescopic BROMMA Spreader</t>
  </si>
  <si>
    <t>Overheight Attachment BROMMA</t>
  </si>
  <si>
    <t>New High Reach to be purchased in January 2013</t>
  </si>
  <si>
    <t>BACKHOE LOADER</t>
  </si>
  <si>
    <t>Vinyl Sign Making System</t>
  </si>
  <si>
    <t>GRADER</t>
  </si>
  <si>
    <t>Shop Fuel System</t>
  </si>
  <si>
    <t>15 K Forklift 2001 Daewood</t>
  </si>
  <si>
    <t>Forklift 45,000 lb</t>
  </si>
  <si>
    <t>OVERHEAD CRANE FOR WELDING SHOP</t>
  </si>
  <si>
    <t>hydro-pneumatic test tank</t>
  </si>
  <si>
    <t>Hydraulic Shear (Weld shop)</t>
  </si>
  <si>
    <t xml:space="preserve">Generator, Emrg Pwr Sup E329- C510 tenant-security bldg. </t>
  </si>
  <si>
    <t>Generator</t>
  </si>
  <si>
    <t>IT Equipment (CCTV, PC's, hardware, etc.)</t>
  </si>
  <si>
    <t>Office Equipment/ welding/garage equipment</t>
  </si>
  <si>
    <t>Fencing 15,000 sq. ft. @ $33 plf</t>
  </si>
  <si>
    <t>DAMES POINT TERMINAL</t>
  </si>
  <si>
    <t>August Drive</t>
  </si>
  <si>
    <t>Interim Cruise Terminal Bldg</t>
  </si>
  <si>
    <t>Furniture, Office Equipment, chairs, carpet</t>
  </si>
  <si>
    <t>Fencing 5,000 sq. ft. @ $33 psf.</t>
  </si>
  <si>
    <t>SECURITY OPERATIONS CENTER</t>
  </si>
  <si>
    <t>Security Operation Center</t>
  </si>
  <si>
    <t>New Berlin Road</t>
  </si>
  <si>
    <t xml:space="preserve">IT Equipment (CCTV, PC's, monitors hardware, etc.) other IT equipment </t>
  </si>
  <si>
    <t>Office Equipment</t>
  </si>
  <si>
    <t>Fencing</t>
  </si>
  <si>
    <t>Mobil Command Unit</t>
  </si>
  <si>
    <t>Duffer Yard Camera System</t>
  </si>
  <si>
    <t>Mass Notification System</t>
  </si>
  <si>
    <t>Communication Equipment</t>
  </si>
  <si>
    <t>BUSINESS INCOME APPLYING TO ALL JAXPORT LOCATIONS</t>
  </si>
  <si>
    <t>JAXPORT - SUBTOTAL</t>
  </si>
  <si>
    <t>PROGRAM GRAND TOTAL</t>
  </si>
  <si>
    <t>PITO DESC</t>
  </si>
  <si>
    <t>FENCE, 6' CHAIN LINK</t>
  </si>
  <si>
    <t>FLAG POLE; FENCE CHAIN LINK 6'; LIGHT POLE</t>
  </si>
  <si>
    <t>FENCE, 5' CHAIN LINK; LIGHT POLE</t>
  </si>
  <si>
    <t>FENCE, 8' CHAIN LINK; PICNIC TABLE; SWING; SLIDE; BASKETBALL BACKBOARD</t>
  </si>
  <si>
    <t>LIGHT POLE; FLAG POLE; PICNIC TABLE</t>
  </si>
  <si>
    <t>PARK BENCH; FENCE, 6' AND 5' CHAIN LINK; PAVILION</t>
  </si>
  <si>
    <t xml:space="preserve">FLAG POLE   </t>
  </si>
  <si>
    <t>FOOTNOTES:</t>
  </si>
  <si>
    <t>(2) PITO Values (only includes loc where bldg exists)</t>
  </si>
  <si>
    <t>C_Contract_ID</t>
  </si>
  <si>
    <t>ContractName</t>
  </si>
  <si>
    <t>CG_AS_Of_Date</t>
  </si>
  <si>
    <t>C_Section_ID</t>
  </si>
  <si>
    <t>MemberID</t>
  </si>
  <si>
    <t>MemberName</t>
  </si>
  <si>
    <t>SiteID</t>
  </si>
  <si>
    <t>SiteName</t>
  </si>
  <si>
    <t>BldgID</t>
  </si>
  <si>
    <t>BldgName</t>
  </si>
  <si>
    <t>ID</t>
  </si>
  <si>
    <t>Qty</t>
  </si>
  <si>
    <t>C_UOM</t>
  </si>
  <si>
    <t>CRN</t>
  </si>
  <si>
    <t>Description2</t>
  </si>
  <si>
    <t>Cecil W. Powell &amp; Company</t>
  </si>
  <si>
    <t>CECIL W. POWELL &amp; COMPANY</t>
  </si>
  <si>
    <t>LAND IMPROVEMENTS</t>
  </si>
  <si>
    <t>FENCE CHAIN LINK 6'</t>
  </si>
  <si>
    <t>520 LF</t>
  </si>
  <si>
    <t>FLAG POLE</t>
  </si>
  <si>
    <t>30 VLF</t>
  </si>
  <si>
    <t>FENCE CHAIN LINK 6' W/BARBED WIRE</t>
  </si>
  <si>
    <t>3120 LF</t>
  </si>
  <si>
    <t>LIGHT POLE STEEL</t>
  </si>
  <si>
    <t>HEIGHT 20' - 2 FIXTURES</t>
  </si>
  <si>
    <t>560 LF</t>
  </si>
  <si>
    <t>FENCE CHAIN LINK 5'</t>
  </si>
  <si>
    <t>1666 LF</t>
  </si>
  <si>
    <t>LIGHT POLE ALUMINUM</t>
  </si>
  <si>
    <t>HEIGHT 20' - 1 FIXTURE</t>
  </si>
  <si>
    <t>FENCE CHAIN LINK 8'</t>
  </si>
  <si>
    <t>653 LF</t>
  </si>
  <si>
    <t>PICNIC TABLE</t>
  </si>
  <si>
    <t>SWING 2 SEATS</t>
  </si>
  <si>
    <t>SWING 4 SEATS</t>
  </si>
  <si>
    <t>SLIDE PLASTIC SPIRAL</t>
  </si>
  <si>
    <t>BACKBOARD BASKETBALL DOUBLE GOAL</t>
  </si>
  <si>
    <t>40 VLF</t>
  </si>
  <si>
    <t>5 FT STEEL LIGHT POLE</t>
  </si>
  <si>
    <t>PARK BENCH</t>
  </si>
  <si>
    <t>FENCE CHAIN LINK 4'</t>
  </si>
  <si>
    <t>725 LF</t>
  </si>
  <si>
    <t>PAVILION STEEL FRAME</t>
  </si>
  <si>
    <t>100 SF</t>
  </si>
  <si>
    <t>100 LF</t>
  </si>
  <si>
    <t>20 VLF</t>
  </si>
  <si>
    <t>LIGHT POLE CONCRETE</t>
  </si>
  <si>
    <t>HEIGHT 60' - 7 FIXTURES</t>
  </si>
  <si>
    <t>HEIGHT 60' - 6 FIXTURES</t>
  </si>
  <si>
    <t>HEIGHT 60' - 4 FIXTURES</t>
  </si>
  <si>
    <t>HEIGHT 30' - 1 FIXTURE</t>
  </si>
  <si>
    <t>HEIGHT 30' - 2 FIXTURES</t>
  </si>
  <si>
    <t>HEIGHT 10' - 1 FIXTURE</t>
  </si>
  <si>
    <t>STORAGE SHED MASONRY</t>
  </si>
  <si>
    <t>80 SF</t>
  </si>
  <si>
    <t>COURT TENNIS W/FENCE &amp; LIGHTING</t>
  </si>
  <si>
    <t>2 COURT(S)</t>
  </si>
  <si>
    <t>MODULAR PLAY SYSTEM</t>
  </si>
  <si>
    <t>PLAYGROUND SURFACE WOOD CHIP</t>
  </si>
  <si>
    <t>3200 SF</t>
  </si>
  <si>
    <t>BLEACHERS OPEN WOOD FRAME</t>
  </si>
  <si>
    <t>5 TIERS OF 20 LF - EST CAPACITY 67</t>
  </si>
  <si>
    <t>FENCE WOOD 6'</t>
  </si>
  <si>
    <t>640 LF</t>
  </si>
  <si>
    <t>RETAINING WALL CONCRETE</t>
  </si>
  <si>
    <t>1920 SF</t>
  </si>
  <si>
    <t>COVERED WALKWAY METAL</t>
  </si>
  <si>
    <t>480 SF</t>
  </si>
  <si>
    <t>15 VLF</t>
  </si>
  <si>
    <t>PAVILION MASONRY</t>
  </si>
  <si>
    <t>BICYCLE RACK</t>
  </si>
  <si>
    <t>RETAINING WALL MASONRY</t>
  </si>
  <si>
    <t>600 SF</t>
  </si>
  <si>
    <t>HEIGHT 10' - 4 FIXTURES</t>
  </si>
  <si>
    <t>HEIGHT 10' - 2 FIXTURES</t>
  </si>
  <si>
    <t>1822 LF</t>
  </si>
  <si>
    <t>900 LF</t>
  </si>
  <si>
    <t>FENCE CHAIN LINK 10'</t>
  </si>
  <si>
    <t>200 LF</t>
  </si>
  <si>
    <t>180 LF</t>
  </si>
  <si>
    <t>HEIGHT 70' - 6 FIXTURES</t>
  </si>
  <si>
    <t>HEIGHT 70' - 3 FIXTURES</t>
  </si>
  <si>
    <t>HEIGHT 70' - 9 FIXTURES</t>
  </si>
  <si>
    <t>HEIGHT 70' - 7 FIXTURES</t>
  </si>
  <si>
    <t>HEIGHT 70' - 8 FIXTURES</t>
  </si>
  <si>
    <t>SCOREBOARD BASEBALL LINE SCORE</t>
  </si>
  <si>
    <t>STORAGE SHED WOOD FRAME</t>
  </si>
  <si>
    <t>140 SF</t>
  </si>
  <si>
    <t>PAVILION WOOD FRAME</t>
  </si>
  <si>
    <t>2112 SF</t>
  </si>
  <si>
    <t>FOUNTAIN DRINKS</t>
  </si>
  <si>
    <t>2000 SF</t>
  </si>
  <si>
    <t>SPRING RIDER</t>
  </si>
  <si>
    <t>SWING 6 SEATS</t>
  </si>
  <si>
    <t>BLEACHERS STEEL FRAME PORTABLE</t>
  </si>
  <si>
    <t>BACKSTOP BASEBALL SMALL</t>
  </si>
  <si>
    <t>BACKSTOP BASEBALL FULL-SIZED</t>
  </si>
  <si>
    <t>BACKBOARD BASKETBALL SINGLE GOAL</t>
  </si>
  <si>
    <t>LIGHT POLE WOOD</t>
  </si>
  <si>
    <t>1086 LF</t>
  </si>
  <si>
    <t>490 LF</t>
  </si>
  <si>
    <t>HEIGHT 60' - 10 FIXTURES</t>
  </si>
  <si>
    <t>HEIGHT 30' - 3 FIXTURES</t>
  </si>
  <si>
    <t>HEIGHT 30' - 5 FIXTURES</t>
  </si>
  <si>
    <t>169 SF</t>
  </si>
  <si>
    <t>5600 SF</t>
  </si>
  <si>
    <t>HEIGHT 30' - 6 FIXTURES</t>
  </si>
  <si>
    <t>400 SF</t>
  </si>
  <si>
    <t>HEIGHT 40' - 6 FIXTURES</t>
  </si>
  <si>
    <t>FENCE WROUGHT IRON 5'</t>
  </si>
  <si>
    <t>417 LF</t>
  </si>
  <si>
    <t>FENCE WROUGHT IRON 4'</t>
  </si>
  <si>
    <t>600 LF</t>
  </si>
  <si>
    <t>RETAINING WALL STONE</t>
  </si>
  <si>
    <t>560 SF</t>
  </si>
  <si>
    <t>MARQUEES</t>
  </si>
  <si>
    <t>FENCE CHAIN LINK 4' W/PRIVACY SLATS</t>
  </si>
  <si>
    <t>700 LF</t>
  </si>
  <si>
    <t>1330 LF</t>
  </si>
  <si>
    <t>400 LF</t>
  </si>
  <si>
    <t>STEPS BRICK PAVERS</t>
  </si>
  <si>
    <t>132 LF</t>
  </si>
  <si>
    <t>240 LF</t>
  </si>
  <si>
    <t>SIGNAGE</t>
  </si>
  <si>
    <t>322 LF</t>
  </si>
  <si>
    <t>MARQUESS</t>
  </si>
  <si>
    <t>25 LF</t>
  </si>
  <si>
    <t>760 LF</t>
  </si>
  <si>
    <t>STEPS CONCRETE</t>
  </si>
  <si>
    <t>60 LF</t>
  </si>
  <si>
    <t>1 VLF</t>
  </si>
  <si>
    <t>MARQUEE SCHOOL SIGN</t>
  </si>
  <si>
    <t>25 VLF</t>
  </si>
  <si>
    <t>HEIGHT 30' - 4 FIXTURES</t>
  </si>
  <si>
    <t>40 SF</t>
  </si>
  <si>
    <t>SIGN</t>
  </si>
  <si>
    <t>TRASHCAN</t>
  </si>
  <si>
    <t>836 SF</t>
  </si>
  <si>
    <t>300 LF</t>
  </si>
  <si>
    <t>FENCE CHAIN LINK 8' W/BARBED COILS</t>
  </si>
  <si>
    <t>15840 LF</t>
  </si>
  <si>
    <t>FENCE CHAIN LINK 12' W/BARBED COILS</t>
  </si>
  <si>
    <t>2640 LF</t>
  </si>
  <si>
    <t>HEIGHT 40' - 1 FIXTURE</t>
  </si>
  <si>
    <t>WATER FOUNTAIN</t>
  </si>
  <si>
    <t>CHIN UP BAR</t>
  </si>
  <si>
    <t>DIP BAR</t>
  </si>
  <si>
    <t>COURT BASKETBALL</t>
  </si>
  <si>
    <t>3 COURT(S)</t>
  </si>
  <si>
    <t>FENCE WOOD PICKET</t>
  </si>
  <si>
    <t>4000 LF</t>
  </si>
  <si>
    <t>128 LF</t>
  </si>
  <si>
    <t>FENCE WROUGHT IRON 6'</t>
  </si>
  <si>
    <t>1170 LF</t>
  </si>
  <si>
    <t>3800 LF</t>
  </si>
  <si>
    <t>825 LF</t>
  </si>
  <si>
    <t>120 SF</t>
  </si>
  <si>
    <t>FENCE CHAIN LINK 8' W/BARBED WIRE</t>
  </si>
  <si>
    <t>1200 LF</t>
  </si>
  <si>
    <t>250 LF</t>
  </si>
  <si>
    <t>50 VLF</t>
  </si>
  <si>
    <t>FENCE VINYL 5'</t>
  </si>
  <si>
    <t>350 LF</t>
  </si>
  <si>
    <t>1300 LF</t>
  </si>
  <si>
    <t>LIGHT POLE CONCRETE ATHLETIC FIELD</t>
  </si>
  <si>
    <t>HEIGHT 30' - 8 FIXTURES</t>
  </si>
  <si>
    <t>HEIGHT 40' - 5 FIXTURES</t>
  </si>
  <si>
    <t>3000 LF</t>
  </si>
  <si>
    <t>1500 LF</t>
  </si>
  <si>
    <t>2500 LF</t>
  </si>
  <si>
    <t>1200 SF</t>
  </si>
  <si>
    <t>PLAYGROUND SURFACE RUBBER</t>
  </si>
  <si>
    <t>15000 SF</t>
  </si>
  <si>
    <t>DRINKING FOUNTAINS</t>
  </si>
  <si>
    <t>1156 SF</t>
  </si>
  <si>
    <t>2173 SF</t>
  </si>
  <si>
    <t>3460 SF</t>
  </si>
  <si>
    <t>TRELLIS</t>
  </si>
  <si>
    <t>FLOTATION DOCK A</t>
  </si>
  <si>
    <t>FLOTATION DOCK B</t>
  </si>
  <si>
    <t>FLOTATION DOCK C</t>
  </si>
  <si>
    <t>FLOTATION DOCK D</t>
  </si>
  <si>
    <t>RAY GREEN CENTER</t>
  </si>
  <si>
    <t>HEIGHT 40' - 4 FIXTURES</t>
  </si>
  <si>
    <t>HEIGHT 40' - 8 FIXTURES</t>
  </si>
  <si>
    <t>HEIGHT 40' - 12 FIXTURES</t>
  </si>
  <si>
    <t>HEIGHT 40' - 36 FIXTURES</t>
  </si>
  <si>
    <t>HEIGHT 40' - 16 FIXTURES</t>
  </si>
  <si>
    <t>3360 LF</t>
  </si>
  <si>
    <t>DUGOUT</t>
  </si>
  <si>
    <t>4 TIERS OF 20 LF - EST CAPACITY 53</t>
  </si>
  <si>
    <t>416 LF</t>
  </si>
  <si>
    <t>HEIGHT 30' - 12 FIXTURES</t>
  </si>
  <si>
    <t>1 COURT(S)</t>
  </si>
  <si>
    <t>COURT TENNIS W/FENCING</t>
  </si>
  <si>
    <t>MOUNTAIN SHOALS</t>
  </si>
  <si>
    <t>GEO-DOME CLIMBER</t>
  </si>
  <si>
    <t>TOSS N SCORE</t>
  </si>
  <si>
    <t>TURNABOUT</t>
  </si>
  <si>
    <t>SEE-SAW 2 BOARDS</t>
  </si>
  <si>
    <t>SCOREBOARD FOOTBALL</t>
  </si>
  <si>
    <t>567 SF</t>
  </si>
  <si>
    <t>LIGHT POLE STEEL ATHLETIC FIELD</t>
  </si>
  <si>
    <t>2000 LF</t>
  </si>
  <si>
    <t>GOAL FOOTBALL SINGLE POST</t>
  </si>
  <si>
    <t>875 LF</t>
  </si>
  <si>
    <t>HEIGHT 10' - 3 FIXTURES</t>
  </si>
  <si>
    <t>FENCE CHAIN LINK 6' W/PRIVACY SLATS</t>
  </si>
  <si>
    <t>270 LF</t>
  </si>
  <si>
    <t>800 SF</t>
  </si>
  <si>
    <t>STORAGE CANOPY WOOD</t>
  </si>
  <si>
    <t>192 SF</t>
  </si>
  <si>
    <t>108 SF</t>
  </si>
  <si>
    <t>240 SF</t>
  </si>
  <si>
    <t>BOARDWALK</t>
  </si>
  <si>
    <t>SLIDE PLASTIC</t>
  </si>
  <si>
    <t>50 LF</t>
  </si>
  <si>
    <t>800 LF</t>
  </si>
  <si>
    <t>242 SF</t>
  </si>
  <si>
    <t>144 SF</t>
  </si>
  <si>
    <t>806 LF</t>
  </si>
  <si>
    <t>17 COURT(S)</t>
  </si>
  <si>
    <t>384 SF</t>
  </si>
  <si>
    <t>104 SF</t>
  </si>
  <si>
    <t>CLIMBER GEODESIC DOME</t>
  </si>
  <si>
    <t>HORIZONTAL MONKEY LADDER</t>
  </si>
  <si>
    <t>PARALLEL BARS STEEL</t>
  </si>
  <si>
    <t>14040 SF</t>
  </si>
  <si>
    <t>5 TIERS OF 15 LF - EST CAPACITY 50</t>
  </si>
  <si>
    <t>SCOREBOARD BASEBALL</t>
  </si>
  <si>
    <t>4 COURT(S)</t>
  </si>
  <si>
    <t>3250 LF</t>
  </si>
  <si>
    <t>1600 LF</t>
  </si>
  <si>
    <t>360 SF</t>
  </si>
  <si>
    <t>4400 LF</t>
  </si>
  <si>
    <t>HEIGHT 50' - 6 FIXTURES</t>
  </si>
  <si>
    <t>HEIGHT 50' - 4 FIXTURES</t>
  </si>
  <si>
    <t>HEIGHT 50' - 3 FIXTURES</t>
  </si>
  <si>
    <t>HEIGHT 50' - 2 FIXTURES</t>
  </si>
  <si>
    <t>BLEACHERS OPEN STEEL FRAME</t>
  </si>
  <si>
    <t>HEIGHT 40' - 3 FIXTURES</t>
  </si>
  <si>
    <t>5000 LF</t>
  </si>
  <si>
    <t>PAVING ASPHALT</t>
  </si>
  <si>
    <t>12000 SF</t>
  </si>
  <si>
    <t>HEIGHT 50' - 10 FIXTURES</t>
  </si>
  <si>
    <t>64 LF</t>
  </si>
  <si>
    <t>368 LF</t>
  </si>
  <si>
    <t>2064 LF</t>
  </si>
  <si>
    <t>2130 LF</t>
  </si>
  <si>
    <t>860 LF</t>
  </si>
  <si>
    <t>HEIGHT 60' - 3 FIXTURES</t>
  </si>
  <si>
    <t>HEIGHT 60' - 2 FIXTURES</t>
  </si>
  <si>
    <t>PRESS BOX BUIDING</t>
  </si>
  <si>
    <t>STEVENS RAMP/DOCK</t>
  </si>
  <si>
    <t>1712 LF</t>
  </si>
  <si>
    <t>FLOTATION BOX</t>
  </si>
  <si>
    <t>BOAT RAMP</t>
  </si>
  <si>
    <t>ALUMINUM GANWAY</t>
  </si>
  <si>
    <t>WOOD DECK</t>
  </si>
  <si>
    <t>540 LF</t>
  </si>
  <si>
    <t>7244 LF</t>
  </si>
  <si>
    <t>360 LF</t>
  </si>
  <si>
    <t>HEIGHT 80' - 13 FIXTURES</t>
  </si>
  <si>
    <t>HEIGHT 80' - 6 FIXTURES</t>
  </si>
  <si>
    <t>HEIGHT 80' - 18 FIXTURES</t>
  </si>
  <si>
    <t>HEIGHT 80' - 9 FIXTURES</t>
  </si>
  <si>
    <t>HEIGHT 80' - 8 FIXTURES</t>
  </si>
  <si>
    <t>135 SF</t>
  </si>
  <si>
    <t>4800 SF</t>
  </si>
  <si>
    <t>BACKSTOP BASEBALL LARGE</t>
  </si>
  <si>
    <t>1248 LF</t>
  </si>
  <si>
    <t>130 LF</t>
  </si>
  <si>
    <t>HANNA PARK ENTRY BUILDING</t>
  </si>
  <si>
    <t>1050 LF</t>
  </si>
  <si>
    <t>1875 LF</t>
  </si>
  <si>
    <t>HEIGHT 40' - 7 FIXTURES</t>
  </si>
  <si>
    <t>1410 LF</t>
  </si>
  <si>
    <t>HEIGHT 60' - 8 FIXTURES</t>
  </si>
  <si>
    <t>MCNAIR PARK</t>
  </si>
  <si>
    <t>1000 LF</t>
  </si>
  <si>
    <t>4900 SF</t>
  </si>
  <si>
    <t>DRINKING FOUNTAIN</t>
  </si>
  <si>
    <t>1100 LF</t>
  </si>
  <si>
    <t>75 LF</t>
  </si>
  <si>
    <t>HEIGHT 40' - 9 FIXTURES</t>
  </si>
  <si>
    <t>535 LF</t>
  </si>
  <si>
    <t>HEIGHT 20' - 5 FIXTURES</t>
  </si>
  <si>
    <t>FISHWEIR PARK</t>
  </si>
  <si>
    <t>120 LF</t>
  </si>
  <si>
    <t>8800 SF</t>
  </si>
  <si>
    <t>FLYNN PLAYGROUND</t>
  </si>
  <si>
    <t>2400 SF</t>
  </si>
  <si>
    <t>8 COURT(S)</t>
  </si>
  <si>
    <t>HEIGHT 20' - 3 FIXTURES</t>
  </si>
  <si>
    <t>HEIGHT 20' - 4 FIXTURES</t>
  </si>
  <si>
    <t>GLYNN MYRA CENTER</t>
  </si>
  <si>
    <t>1700 LF</t>
  </si>
  <si>
    <t>HEIGHT 60' - 5 FIXTURES</t>
  </si>
  <si>
    <t>3520 SF</t>
  </si>
  <si>
    <t>FENCE WOOD 5'</t>
  </si>
  <si>
    <t>HEIGHT 30' - 10 FIXTURES</t>
  </si>
  <si>
    <t>2400 LF</t>
  </si>
  <si>
    <t>176 LF</t>
  </si>
  <si>
    <t>725 SF</t>
  </si>
  <si>
    <t>TICKET BOOTH WOOD FRAME</t>
  </si>
  <si>
    <t>55 SF</t>
  </si>
  <si>
    <t>288 SF</t>
  </si>
  <si>
    <t>64 SF</t>
  </si>
  <si>
    <t>BOARD WALK</t>
  </si>
  <si>
    <t>BLACK HAMMOCK ISLAND PARK</t>
  </si>
  <si>
    <t>2250 LF</t>
  </si>
  <si>
    <t>HEIGHT 20' - 8 FIXTURES</t>
  </si>
  <si>
    <t>264 LF</t>
  </si>
  <si>
    <t>GRILL</t>
  </si>
  <si>
    <t>TRASH CAN</t>
  </si>
  <si>
    <t>HEIGHT 50' - 8 FIXTURES</t>
  </si>
  <si>
    <t>HEIGHT 50' - 1 FIXTURE</t>
  </si>
  <si>
    <t>HEIGHT 50' - 5 FIXTURES</t>
  </si>
  <si>
    <t>448 LF</t>
  </si>
  <si>
    <t>AWNING</t>
  </si>
  <si>
    <t>FENCE CHAIN LINK 12'</t>
  </si>
  <si>
    <t>1128 LF</t>
  </si>
  <si>
    <t>6600 LF</t>
  </si>
  <si>
    <t>96 LF</t>
  </si>
  <si>
    <t>10 TIERS OF 30 LF - EST CAPACITY 200</t>
  </si>
  <si>
    <t>SEASIDE</t>
  </si>
  <si>
    <t>TRELLIS SYSTEMS</t>
  </si>
  <si>
    <t>2200 LF</t>
  </si>
  <si>
    <t>2720 LF</t>
  </si>
  <si>
    <t>WEAVE AWAY</t>
  </si>
  <si>
    <t>JAMES SMALL BALLPARK</t>
  </si>
  <si>
    <t>HEIGHT 50' - 12 FIXTURES</t>
  </si>
  <si>
    <t>MASONRY WALL BRICK</t>
  </si>
  <si>
    <t>16 SF</t>
  </si>
  <si>
    <t>450 SF</t>
  </si>
  <si>
    <t>T. K. STOKES PARK</t>
  </si>
  <si>
    <t>BERT MAXWELL BOAT RAMP</t>
  </si>
  <si>
    <t>CONCRETE DOCK</t>
  </si>
  <si>
    <t>WOOD DOCK</t>
  </si>
  <si>
    <t>VERTICAL BUMPERS</t>
  </si>
  <si>
    <t>1990 LF</t>
  </si>
  <si>
    <t>700 SF</t>
  </si>
  <si>
    <t>3575 LF</t>
  </si>
  <si>
    <t>200 SF</t>
  </si>
  <si>
    <t>1840 LF</t>
  </si>
  <si>
    <t>HEIGHT 50' - 9 FIXTURES</t>
  </si>
  <si>
    <t>RAMP HANDICAP CONCRETE W/RAILING</t>
  </si>
  <si>
    <t>30 LF</t>
  </si>
  <si>
    <t>MASONRY WALL CONCRETE BLOCK</t>
  </si>
  <si>
    <t>CHIN-UP BAR</t>
  </si>
  <si>
    <t>RUMBLE N ROLL</t>
  </si>
  <si>
    <t>MOUNTAIN COVE</t>
  </si>
  <si>
    <t>2533 LF</t>
  </si>
  <si>
    <t>286 SF</t>
  </si>
  <si>
    <t>225 SF</t>
  </si>
  <si>
    <t>WILLOWBRANCH PARK</t>
  </si>
  <si>
    <t>483 SF</t>
  </si>
  <si>
    <t>550 LF</t>
  </si>
  <si>
    <t>1040 LF</t>
  </si>
  <si>
    <t>PRESS BOX BUILDING</t>
  </si>
  <si>
    <t>CONCESSION STAND BUILDING</t>
  </si>
  <si>
    <t>72 SF</t>
  </si>
  <si>
    <t>GOAL FOOTBALL DOUBLE POST</t>
  </si>
  <si>
    <t>96 SF</t>
  </si>
  <si>
    <t>COVERED SETTING AREA 1</t>
  </si>
  <si>
    <t>COVERED SEATTING AREA 2</t>
  </si>
  <si>
    <t>2524 LF</t>
  </si>
  <si>
    <t>HEIGHT 40' - 2 FIXTURES</t>
  </si>
  <si>
    <t>HEIGHT 40' - 17 FIXTURES</t>
  </si>
  <si>
    <t>2575 LF</t>
  </si>
  <si>
    <t>PARKING GATE ARM</t>
  </si>
  <si>
    <t>5376 LF</t>
  </si>
  <si>
    <t>HEIGHT 60' - 12 FIXTURES</t>
  </si>
  <si>
    <t>1080 SF</t>
  </si>
  <si>
    <t>GOAL SOCCER REGULATION</t>
  </si>
  <si>
    <t>FENCE CHAIN LINK 10' W/BARBED WIRE</t>
  </si>
  <si>
    <t>280 LF</t>
  </si>
  <si>
    <t>BELL</t>
  </si>
  <si>
    <t>280 SF</t>
  </si>
  <si>
    <t>22 VLF</t>
  </si>
  <si>
    <t>77 LF</t>
  </si>
  <si>
    <t>MARQUEES SIGNS</t>
  </si>
  <si>
    <t>444 LF</t>
  </si>
  <si>
    <t>1080 LF</t>
  </si>
  <si>
    <t>70 SF</t>
  </si>
  <si>
    <t>960 LF</t>
  </si>
  <si>
    <t>FIRE STATION 7</t>
  </si>
  <si>
    <t>48 LF</t>
  </si>
  <si>
    <t>320 LF</t>
  </si>
  <si>
    <t>160 LF</t>
  </si>
  <si>
    <t>256 LF</t>
  </si>
  <si>
    <t>150 LF</t>
  </si>
  <si>
    <t>160 SF</t>
  </si>
  <si>
    <t>40 LF</t>
  </si>
  <si>
    <t>35 VLF</t>
  </si>
  <si>
    <t>440 LF</t>
  </si>
  <si>
    <t>500 LF</t>
  </si>
  <si>
    <t>496 LF</t>
  </si>
  <si>
    <t>475 LF</t>
  </si>
  <si>
    <t>420 SF</t>
  </si>
  <si>
    <t>110 LF</t>
  </si>
  <si>
    <t>275 LF</t>
  </si>
  <si>
    <t>325 LF</t>
  </si>
  <si>
    <t>176 SF</t>
  </si>
  <si>
    <t>6000 LF</t>
  </si>
  <si>
    <t>2858 SF</t>
  </si>
  <si>
    <t>MARQUEES WOOD SIGNS</t>
  </si>
  <si>
    <t>1230 LF</t>
  </si>
  <si>
    <t>1309 LF</t>
  </si>
  <si>
    <t>165 SF</t>
  </si>
  <si>
    <t>1251 LF</t>
  </si>
  <si>
    <t>STORAGE BUILDING 2</t>
  </si>
  <si>
    <t>430 LF</t>
  </si>
  <si>
    <t>2800 LF</t>
  </si>
  <si>
    <t>880 LF</t>
  </si>
  <si>
    <t>2061 LF</t>
  </si>
  <si>
    <t>HEIGHT 30' - 9 FIXTURES</t>
  </si>
  <si>
    <t>456 SF</t>
  </si>
  <si>
    <t>10000 SF</t>
  </si>
  <si>
    <t>2700 LF</t>
  </si>
  <si>
    <t>5260 LF</t>
  </si>
  <si>
    <t>COVERED AREA MESH</t>
  </si>
  <si>
    <t>HEIGHT 60' - 15 FIXTURES</t>
  </si>
  <si>
    <t>HEIGHT 70' - 4 FIXTURES</t>
  </si>
  <si>
    <t>HEIGHT 70' - 10 FIXTURES</t>
  </si>
  <si>
    <t>1400 SF</t>
  </si>
  <si>
    <t>3 TIERS OF 20 LF - EST CAPACITY 40</t>
  </si>
  <si>
    <t>GOAL SOCCER JUNIOR</t>
  </si>
  <si>
    <t>88 SF</t>
  </si>
  <si>
    <t>60 SF</t>
  </si>
  <si>
    <t>49 SF</t>
  </si>
  <si>
    <t>3174 LF</t>
  </si>
  <si>
    <t>1850 LF</t>
  </si>
  <si>
    <t>HEIGHT 40' - 10 FIXTURES</t>
  </si>
  <si>
    <t>175 LF</t>
  </si>
  <si>
    <t>336 LF</t>
  </si>
  <si>
    <t>LITTLE CLIMB SLIDE</t>
  </si>
  <si>
    <t>3760 LF</t>
  </si>
  <si>
    <t>SWING TIRE</t>
  </si>
  <si>
    <t>622 LF</t>
  </si>
  <si>
    <t>3900 LF</t>
  </si>
  <si>
    <t>1560 SF</t>
  </si>
  <si>
    <t>36 SF</t>
  </si>
  <si>
    <t>121 SF</t>
  </si>
  <si>
    <t>HEIGHT 70' - 5 FIXTURES</t>
  </si>
  <si>
    <t>HEIGHT 70' - 12 FIXTURES</t>
  </si>
  <si>
    <t>1520 LF</t>
  </si>
  <si>
    <t>150 SF</t>
  </si>
  <si>
    <t>308 SF</t>
  </si>
  <si>
    <t>ANDREW JACKSON PARK</t>
  </si>
  <si>
    <t>FOUNTAIN DRINK</t>
  </si>
  <si>
    <t>ARLINGWOOD PARK</t>
  </si>
  <si>
    <t>FENCE VINYL 4'</t>
  </si>
  <si>
    <t>375 LF</t>
  </si>
  <si>
    <t>90 SF</t>
  </si>
  <si>
    <t>168 LF</t>
  </si>
  <si>
    <t>367 LF</t>
  </si>
  <si>
    <t>432 SF</t>
  </si>
  <si>
    <t>2040 LF</t>
  </si>
  <si>
    <t>162 SF</t>
  </si>
  <si>
    <t>3120 SF</t>
  </si>
  <si>
    <t>4096 LF</t>
  </si>
  <si>
    <t>208 LF</t>
  </si>
  <si>
    <t>192 LF</t>
  </si>
  <si>
    <t>620 LF</t>
  </si>
  <si>
    <t>3700 LF</t>
  </si>
  <si>
    <t>FENCE ALUMINUM 4'</t>
  </si>
  <si>
    <t>635 LF</t>
  </si>
  <si>
    <t>CONFEDERATE PLAYGROUND</t>
  </si>
  <si>
    <t>1340 LF</t>
  </si>
  <si>
    <t>2 TIERS OF 20 LF - EST CAPACITY 27</t>
  </si>
  <si>
    <t>6300 LF</t>
  </si>
  <si>
    <t>HEIGHT 30' - 7 FIXTURES</t>
  </si>
  <si>
    <t>720 SF</t>
  </si>
  <si>
    <t>45 VLF</t>
  </si>
  <si>
    <t>20 LF</t>
  </si>
  <si>
    <t>132 SF</t>
  </si>
  <si>
    <t>144 LF</t>
  </si>
  <si>
    <t>FITNESS CENTER</t>
  </si>
  <si>
    <t>CUB</t>
  </si>
  <si>
    <t>552 LF</t>
  </si>
  <si>
    <t>88 LF</t>
  </si>
  <si>
    <t>CHILDREN'S CHOICE</t>
  </si>
  <si>
    <t>KIDS CORRAL</t>
  </si>
  <si>
    <t>450 LF</t>
  </si>
  <si>
    <t>HOLIDAY HILL PARK</t>
  </si>
  <si>
    <t>HEIGHT 60' - 9 FIXTURES</t>
  </si>
  <si>
    <t>CHASE RACE</t>
  </si>
  <si>
    <t>80 LF</t>
  </si>
  <si>
    <t>1408 LF</t>
  </si>
  <si>
    <t>1179 LF</t>
  </si>
  <si>
    <t>LOVELACE PARK</t>
  </si>
  <si>
    <t>NORMANDY BOULEVARD SPORT COMPLEX</t>
  </si>
  <si>
    <t>PARKWOOD HEIGHTS PARK</t>
  </si>
  <si>
    <t>325 SF</t>
  </si>
  <si>
    <t>730 LF</t>
  </si>
  <si>
    <t>DUMPSTER ENCLOSURE MASONRY WALL</t>
  </si>
  <si>
    <t>1044 LF</t>
  </si>
  <si>
    <t>12 COURT(S)</t>
  </si>
  <si>
    <t>924 SF</t>
  </si>
  <si>
    <t>440 SF</t>
  </si>
  <si>
    <t>3600 SF</t>
  </si>
  <si>
    <t>2369 LF</t>
  </si>
  <si>
    <t>RAMP HANDICAP WOOD W/RAILING</t>
  </si>
  <si>
    <t>416 SF</t>
  </si>
  <si>
    <t>SCHELL MEMORIAL PARK</t>
  </si>
  <si>
    <t>WHEAT FIELD PARK 2</t>
  </si>
  <si>
    <t>2218 LF</t>
  </si>
  <si>
    <t>140 LF</t>
  </si>
  <si>
    <t>HEIGHT 50' - 7 FIXTURES</t>
  </si>
  <si>
    <t>180 SF</t>
  </si>
  <si>
    <t>1400 LF</t>
  </si>
  <si>
    <t>640 SF</t>
  </si>
  <si>
    <t>384 LF</t>
  </si>
  <si>
    <t>CHALLENGER</t>
  </si>
  <si>
    <t>PLAY DAY</t>
  </si>
  <si>
    <t>1800 LF</t>
  </si>
  <si>
    <t>DRAGONS LAIR</t>
  </si>
  <si>
    <t>410 LF</t>
  </si>
  <si>
    <t>1160 SF</t>
  </si>
  <si>
    <t>312 SF</t>
  </si>
  <si>
    <t>168 SF</t>
  </si>
  <si>
    <t>540 SF</t>
  </si>
  <si>
    <t>FENCE CHAIN LINK 6' W/BARBED COILS</t>
  </si>
  <si>
    <t>958 LF</t>
  </si>
  <si>
    <t>MARQUEES SIGNS GLASS</t>
  </si>
  <si>
    <t>CECIL PINES OFFICE BUILDING</t>
  </si>
  <si>
    <t>1144 LF</t>
  </si>
  <si>
    <t>1620 LF</t>
  </si>
  <si>
    <t>TRASH RECIPTICLES</t>
  </si>
  <si>
    <t>30 SF</t>
  </si>
  <si>
    <t>1440 SF</t>
  </si>
  <si>
    <t>OBSTACLE COURSE</t>
  </si>
  <si>
    <t>6 FT WOOD POST</t>
  </si>
  <si>
    <t>15 FT WOOD POST</t>
  </si>
  <si>
    <t>40 FT WOOD POST</t>
  </si>
  <si>
    <t>HEIGHT 10' - 5 FIXTURES</t>
  </si>
  <si>
    <t>MASONRY WALL CONCRETE BLOCK W/STUCCO</t>
  </si>
  <si>
    <t>MARQUEE GLASS SIGN</t>
  </si>
  <si>
    <t>HEIGHT 60' - 20 FIXTURES</t>
  </si>
  <si>
    <t>HEIGHT 60' - 21 FIXTURES</t>
  </si>
  <si>
    <t>HEIGHT 60' - 14 FIXTURES</t>
  </si>
  <si>
    <t>SCOREBOARD SOCCER/MULTISPORT</t>
  </si>
  <si>
    <t>BLEACHERS METAL FRAME</t>
  </si>
  <si>
    <t>1054 LF</t>
  </si>
  <si>
    <t>1487 LF</t>
  </si>
  <si>
    <t>348 SF</t>
  </si>
  <si>
    <t>12832 SF</t>
  </si>
  <si>
    <t>SKATE PARK SYSTEM</t>
  </si>
  <si>
    <t>237 SF</t>
  </si>
  <si>
    <t>DANESE PARK</t>
  </si>
  <si>
    <t>81 SF</t>
  </si>
  <si>
    <t>DAVIS PARK</t>
  </si>
  <si>
    <t>480 LF</t>
  </si>
  <si>
    <t>PARKING GATE ARMS</t>
  </si>
  <si>
    <t>1140 LF</t>
  </si>
  <si>
    <t>LIGHT POLE STEEL ORNAMENTAL</t>
  </si>
  <si>
    <t>HEIGHT 70' - 24 FIXTURES</t>
  </si>
  <si>
    <t>HEIGHT 70' - 30 FIXTURES</t>
  </si>
  <si>
    <t>HEIGHT 70' - 32 FIXTURES</t>
  </si>
  <si>
    <t>SCOREBOARD</t>
  </si>
  <si>
    <t>MASONRY WALL STONE</t>
  </si>
  <si>
    <t>3000 CF</t>
  </si>
  <si>
    <t>320 CF</t>
  </si>
  <si>
    <t>1600 SF</t>
  </si>
  <si>
    <t>HEIGHT 50' - 32 FIXTURES</t>
  </si>
  <si>
    <t>751 SF</t>
  </si>
  <si>
    <t>PEDESTRIAN BRIDGE</t>
  </si>
  <si>
    <t>GRILLS</t>
  </si>
  <si>
    <t>MODULAR PLAY SYSTEMS</t>
  </si>
  <si>
    <t>FENCE WOOD SPLIT TWO RAILS</t>
  </si>
  <si>
    <t>TETHER BALL POST</t>
  </si>
  <si>
    <t>SWING 8 SEATS</t>
  </si>
  <si>
    <t>2640 SF</t>
  </si>
  <si>
    <t>OBSERVATION TOWER</t>
  </si>
  <si>
    <t>12000 CF</t>
  </si>
  <si>
    <t>AWNING (BLEACHER SHADE)</t>
  </si>
  <si>
    <t>DUGOUTS</t>
  </si>
  <si>
    <t>5 TIERS OF 25 LF - EST CAPACITY 83</t>
  </si>
  <si>
    <t>COURT BASKETBALL W/LIGHTING</t>
  </si>
  <si>
    <t>GRILLE</t>
  </si>
  <si>
    <t>TRASH RECIPTICLE</t>
  </si>
  <si>
    <t>528 LF</t>
  </si>
  <si>
    <t>510 LF</t>
  </si>
  <si>
    <t>MARQUEES GLASS SIGNS</t>
  </si>
  <si>
    <t>24 SF</t>
  </si>
  <si>
    <t>1597 LF</t>
  </si>
  <si>
    <t>4 LF</t>
  </si>
  <si>
    <t>1500 SF</t>
  </si>
  <si>
    <t>352 SF</t>
  </si>
  <si>
    <t>6 SF</t>
  </si>
  <si>
    <t>18 VLF</t>
  </si>
  <si>
    <t>1514 LF</t>
  </si>
  <si>
    <t>340 LF</t>
  </si>
  <si>
    <t>500 SF</t>
  </si>
  <si>
    <t>432 LF</t>
  </si>
  <si>
    <t>DOG DRINKING FOUNTAIN</t>
  </si>
  <si>
    <t>25 SF</t>
  </si>
  <si>
    <t>250 SF</t>
  </si>
  <si>
    <t>312 LF</t>
  </si>
  <si>
    <t>GOOD</t>
  </si>
  <si>
    <t>1038 LF</t>
  </si>
  <si>
    <t>408 SF</t>
  </si>
  <si>
    <t>MARQUEE SIGN WOOD</t>
  </si>
  <si>
    <t>ALUMINUM GANGWAY</t>
  </si>
  <si>
    <t>7 TIERS OF 10 LF - EST CAPACITY 47</t>
  </si>
  <si>
    <t>225 LF</t>
  </si>
  <si>
    <t>1440 LF</t>
  </si>
  <si>
    <t>1120 LF</t>
  </si>
  <si>
    <t>HEIGHT 60' - 16 FIXTURES</t>
  </si>
  <si>
    <t>HEIGHT 60' - 32 FIXTURES</t>
  </si>
  <si>
    <t>CANYON RIDGE</t>
  </si>
  <si>
    <t>TIMBERLINE</t>
  </si>
  <si>
    <t>9000 LF</t>
  </si>
  <si>
    <t>7000 LF</t>
  </si>
  <si>
    <t>MARQUEES SIGNS WOOD</t>
  </si>
  <si>
    <t>WOOD BRIDGE</t>
  </si>
  <si>
    <t>3280 SF</t>
  </si>
  <si>
    <t>EXTERCISE SYSTEM</t>
  </si>
  <si>
    <t>9 COURT(S)</t>
  </si>
  <si>
    <t>1282 LF</t>
  </si>
  <si>
    <t>VICTORY PARK RESTROOM</t>
  </si>
  <si>
    <t>(1) 260 Buildings valued at less than $50,000.  Buildings not appraised, but noted herewith</t>
  </si>
  <si>
    <t>(2) Property in the Open valued at $58,672,000, average value is $ 25,000</t>
  </si>
  <si>
    <t>(3) $5,000,000 Business Income Sub-Limit for non-tax revenue exposure.  A BI study will be conducted to determine exact exposure.</t>
  </si>
  <si>
    <t>(1) Number of buildings under $50,000</t>
  </si>
  <si>
    <t>Ferry</t>
  </si>
  <si>
    <t>32233-2428</t>
  </si>
  <si>
    <t>Ocean Street</t>
  </si>
  <si>
    <t xml:space="preserve">St. Johns River Ferry </t>
  </si>
  <si>
    <t>TOTAL TIV</t>
  </si>
  <si>
    <t>CHANGES DURING POLICY TERM:</t>
  </si>
  <si>
    <t>IV Calculation: 45'X80'=3600 sq ft / 20 swimmer=1180 ea swimmer x 3120 = $561,600.  Includes decking, fencing, lights associated with pool area.</t>
  </si>
  <si>
    <t>FORT CAROLINE COMM CLUB/CENTER (POOL)</t>
  </si>
  <si>
    <t>Add 6/7/13</t>
  </si>
  <si>
    <t>Fort Caroline Comm Club/Center - Pool</t>
  </si>
  <si>
    <t>Concession Building</t>
  </si>
  <si>
    <t>WILLIAM F. SHEFFIELD REGIONAL PARK</t>
  </si>
  <si>
    <t>NONE</t>
  </si>
  <si>
    <t>Standing Seam Metal</t>
  </si>
  <si>
    <t>Concrete Block</t>
  </si>
  <si>
    <t>Add 6/25/13</t>
  </si>
  <si>
    <t>FUEL TANK #1</t>
  </si>
  <si>
    <t>FUEL TANK #2</t>
  </si>
  <si>
    <t>OFFICE</t>
  </si>
  <si>
    <t>BOOTH</t>
  </si>
  <si>
    <t>FERRY PAVILION</t>
  </si>
  <si>
    <t>MAYPORT</t>
  </si>
  <si>
    <t>136659</t>
  </si>
  <si>
    <t>N 30-23-43.5</t>
  </si>
  <si>
    <t>W 081-25-47.2</t>
  </si>
  <si>
    <t>N 30-23-43.3</t>
  </si>
  <si>
    <t>W 081-25-47.3</t>
  </si>
  <si>
    <t>30</t>
  </si>
  <si>
    <t>W 081-25-46.4</t>
  </si>
  <si>
    <t>11355</t>
  </si>
  <si>
    <t>160</t>
  </si>
  <si>
    <t>N 30-23-44.6</t>
  </si>
  <si>
    <t>W 081-25-46.6</t>
  </si>
  <si>
    <t>1403</t>
  </si>
  <si>
    <t>1500</t>
  </si>
  <si>
    <t>36</t>
  </si>
  <si>
    <t>N 30-23-44.1</t>
  </si>
  <si>
    <t>W 081-25-46.7</t>
  </si>
  <si>
    <t>FORT GEORGE</t>
  </si>
  <si>
    <t>12/31/2010</t>
  </si>
  <si>
    <t>129849</t>
  </si>
  <si>
    <t>N 30-23-41.5</t>
  </si>
  <si>
    <t>W 081-26-12.5</t>
  </si>
  <si>
    <t>86486</t>
  </si>
  <si>
    <t>800</t>
  </si>
  <si>
    <t>N 30-23-43.0</t>
  </si>
  <si>
    <t>W 081-26-11.5</t>
  </si>
  <si>
    <t>1770</t>
  </si>
  <si>
    <t>48</t>
  </si>
  <si>
    <t>N 30-23-43.4</t>
  </si>
  <si>
    <t>W 081-26-11.4</t>
  </si>
  <si>
    <t>ST JOHNS RIVER FERRY-MAYPORT</t>
  </si>
  <si>
    <t>ST JOHNS RIVER FERRY-FORT GEORGE</t>
  </si>
  <si>
    <t>Add 3/1/13</t>
  </si>
  <si>
    <t>Property</t>
  </si>
  <si>
    <t>Building</t>
  </si>
  <si>
    <t>Property Name</t>
  </si>
  <si>
    <t>Additional Description</t>
  </si>
  <si>
    <t>999</t>
  </si>
  <si>
    <t/>
  </si>
  <si>
    <t>72 LF</t>
  </si>
  <si>
    <t>232 LF</t>
  </si>
  <si>
    <t>MCC CONTROL PANEL</t>
  </si>
  <si>
    <t>WOOD SIGN</t>
  </si>
  <si>
    <t>MOTOR CONTROL PANEL</t>
  </si>
  <si>
    <t>METAL SIGN</t>
  </si>
  <si>
    <t>9 SF</t>
  </si>
  <si>
    <t>HANDICAP SIGN</t>
  </si>
  <si>
    <t>2 SF</t>
  </si>
  <si>
    <t>LED SIGN</t>
  </si>
  <si>
    <t>6 LF</t>
  </si>
  <si>
    <t>MEMORIAL</t>
  </si>
  <si>
    <t>18 CF</t>
  </si>
  <si>
    <t>DOCK LEVELER</t>
  </si>
  <si>
    <t>TRASHCANS</t>
  </si>
  <si>
    <t>METAL SIGNS</t>
  </si>
  <si>
    <t>TOTAL</t>
  </si>
  <si>
    <t>Add 7/30/13</t>
  </si>
  <si>
    <t>SUPERVISOR OF ELECTIONS - WAREHOUSE</t>
  </si>
  <si>
    <t>SOE WAREHOUSE</t>
  </si>
  <si>
    <t xml:space="preserve">5200-2 </t>
  </si>
  <si>
    <t>Comp Shingle</t>
  </si>
  <si>
    <t>PINE FOREST COMMUNITY HEALTH ANNEX</t>
  </si>
  <si>
    <t>Brick</t>
  </si>
  <si>
    <t>Add 7/31/13</t>
  </si>
  <si>
    <r>
      <t xml:space="preserve">0071 </t>
    </r>
    <r>
      <rPr>
        <sz val="8"/>
        <rFont val="Trebuchet MS"/>
        <family val="2"/>
      </rPr>
      <t>(Add contents- left off appraisal)</t>
    </r>
  </si>
  <si>
    <t>add 9/22/13</t>
  </si>
  <si>
    <t>STATE OF FLORIDA DSMV</t>
  </si>
  <si>
    <t>WILSON</t>
  </si>
  <si>
    <t>LESSEE / LESSOR</t>
  </si>
  <si>
    <t>LESSOR</t>
  </si>
  <si>
    <t>Add 8/9/13</t>
  </si>
  <si>
    <t>DUVAL CO HEALTH DEPARTMENT</t>
  </si>
  <si>
    <t>FIRESTONE ROAD</t>
  </si>
  <si>
    <t>0426 (Add contents-left off appraisal)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</si>
</sst>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
    <numFmt numFmtId="165" formatCode="mm/dd/yy;@"/>
    <numFmt numFmtId="166" formatCode="_(* #,##0_);_(* \(#,##0\);_(* &quot;-&quot;??_);_(@_)"/>
    <numFmt numFmtId="167" formatCode="&quot;$&quot;#,##0"/>
  </numFmts>
  <fonts count="69">
    <font>
      <sz val="10"/>
      <name val="Arial"/>
    </font>
    <font>
      <sz val="11"/>
      <color theme="1"/>
      <name val="Calibri"/>
      <family val="2"/>
      <scheme val="minor"/>
    </font>
    <font>
      <sz val="11"/>
      <color indexed="8"/>
      <name val="Calibri"/>
      <family val="2"/>
    </font>
    <font>
      <sz val="10"/>
      <name val="Arial"/>
      <family val="2"/>
    </font>
    <font>
      <b/>
      <sz val="10"/>
      <name val="Arial"/>
      <family val="2"/>
    </font>
    <font>
      <sz val="12"/>
      <name val="Calibri"/>
      <family val="2"/>
    </font>
    <font>
      <b/>
      <sz val="12"/>
      <name val="Calibri"/>
      <family val="2"/>
    </font>
    <font>
      <sz val="10"/>
      <name val="Calibri"/>
      <family val="2"/>
    </font>
    <font>
      <b/>
      <sz val="10"/>
      <name val="Calibri"/>
      <family val="2"/>
    </font>
    <font>
      <b/>
      <sz val="10"/>
      <color indexed="8"/>
      <name val="Calibri"/>
      <family val="2"/>
    </font>
    <font>
      <sz val="10"/>
      <name val="MS Sans Serif"/>
      <family val="2"/>
    </font>
    <font>
      <b/>
      <sz val="10"/>
      <name val="MS Sans Serif"/>
      <family val="2"/>
    </font>
    <font>
      <b/>
      <u/>
      <sz val="10"/>
      <name val="Trebuchet MS"/>
      <family val="2"/>
    </font>
    <font>
      <sz val="10"/>
      <name val="Trebuchet MS"/>
      <family val="2"/>
    </font>
    <font>
      <b/>
      <sz val="10"/>
      <name val="Trebuchet MS"/>
      <family val="2"/>
    </font>
    <font>
      <sz val="10"/>
      <color indexed="8"/>
      <name val="Trebuchet MS"/>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b/>
      <sz val="9"/>
      <name val="Tahoma"/>
      <family val="2"/>
    </font>
    <font>
      <sz val="10"/>
      <name val="Geneva"/>
    </font>
    <font>
      <sz val="9"/>
      <name val="Tahoma"/>
      <family val="2"/>
    </font>
    <font>
      <i/>
      <sz val="11"/>
      <color indexed="23"/>
      <name val="Calibri"/>
      <family val="2"/>
      <charset val="204"/>
    </font>
    <font>
      <sz val="1"/>
      <color indexed="16"/>
      <name val="Courier"/>
      <family val="3"/>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
      <color indexed="16"/>
      <name val="Courier"/>
      <family val="3"/>
    </font>
    <font>
      <u/>
      <sz val="10"/>
      <color indexed="12"/>
      <name val="Arial"/>
      <family val="2"/>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name val="Tahoma"/>
      <family val="2"/>
    </font>
    <font>
      <b/>
      <sz val="10"/>
      <name val="Tahoma"/>
      <family val="2"/>
    </font>
    <font>
      <b/>
      <sz val="11"/>
      <color indexed="8"/>
      <name val="Calibri"/>
      <family val="2"/>
      <charset val="204"/>
    </font>
    <font>
      <sz val="11"/>
      <color indexed="10"/>
      <name val="Calibri"/>
      <family val="2"/>
      <charset val="204"/>
    </font>
    <font>
      <i/>
      <sz val="14"/>
      <name val="Trebuchet MS"/>
      <family val="2"/>
    </font>
    <font>
      <sz val="14"/>
      <name val="Trebuchet MS"/>
      <family val="2"/>
    </font>
    <font>
      <b/>
      <sz val="14"/>
      <name val="Trebuchet MS"/>
      <family val="2"/>
    </font>
    <font>
      <sz val="10"/>
      <name val="Arial"/>
    </font>
    <font>
      <sz val="10"/>
      <color rgb="FFFF0000"/>
      <name val="Arial"/>
      <family val="2"/>
    </font>
    <font>
      <sz val="8"/>
      <name val="Arial"/>
      <family val="2"/>
    </font>
    <font>
      <sz val="8"/>
      <color indexed="81"/>
      <name val="Tahoma"/>
      <charset val="1"/>
    </font>
    <font>
      <b/>
      <sz val="8"/>
      <color indexed="81"/>
      <name val="Tahoma"/>
      <charset val="1"/>
    </font>
    <font>
      <b/>
      <sz val="11"/>
      <color theme="1"/>
      <name val="Calibri"/>
      <family val="2"/>
      <scheme val="minor"/>
    </font>
    <font>
      <b/>
      <u/>
      <sz val="10"/>
      <color rgb="FFFF0000"/>
      <name val="Trebuchet MS"/>
      <family val="2"/>
    </font>
    <font>
      <sz val="8"/>
      <name val="Trebuchet MS"/>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indexed="13"/>
        <bgColor indexed="64"/>
      </patternFill>
    </fill>
    <fill>
      <patternFill patternType="solid">
        <fgColor indexed="50"/>
        <bgColor indexed="64"/>
      </patternFill>
    </fill>
    <fill>
      <patternFill patternType="solid">
        <fgColor indexed="22"/>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hair">
        <color indexed="22"/>
      </bottom>
      <diagonal/>
    </border>
    <border>
      <left/>
      <right/>
      <top/>
      <bottom style="medium">
        <color auto="1"/>
      </bottom>
      <diagonal/>
    </border>
    <border>
      <left/>
      <right/>
      <top style="thin">
        <color indexed="62"/>
      </top>
      <bottom style="double">
        <color indexed="62"/>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auto="1"/>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rgb="FF000000"/>
      </left>
      <right style="thin">
        <color rgb="FF000000"/>
      </right>
      <top style="thin">
        <color rgb="FF000000"/>
      </top>
      <bottom style="thin">
        <color rgb="FF000000"/>
      </bottom>
      <diagonal/>
    </border>
    <border>
      <left/>
      <right/>
      <top/>
      <bottom style="double">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911">
    <xf numFmtId="0" fontId="0" fillId="0" borderId="0"/>
    <xf numFmtId="0" fontId="2" fillId="2" borderId="0" applyNumberFormat="0" applyBorder="0" applyAlignment="0" applyProtection="0"/>
    <xf numFmtId="0" fontId="33"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33"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33"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33"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33"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3"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33"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33"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33"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33"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33"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3" fillId="11" borderId="0" applyNumberFormat="0" applyBorder="0" applyAlignment="0" applyProtection="0"/>
    <xf numFmtId="0" fontId="2" fillId="11" borderId="0" applyNumberFormat="0" applyBorder="0" applyAlignment="0" applyProtection="0"/>
    <xf numFmtId="0" fontId="16" fillId="12" borderId="0" applyNumberFormat="0" applyBorder="0" applyAlignment="0" applyProtection="0"/>
    <xf numFmtId="0" fontId="34"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34"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34"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34"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34"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4"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34"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34"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34"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34"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34"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34" fillId="19"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35" fillId="3"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36" fillId="20" borderId="1" applyNumberFormat="0" applyAlignment="0" applyProtection="0"/>
    <xf numFmtId="0" fontId="18" fillId="20" borderId="1" applyNumberFormat="0" applyAlignment="0" applyProtection="0"/>
    <xf numFmtId="0" fontId="19" fillId="21" borderId="2" applyNumberFormat="0" applyAlignment="0" applyProtection="0"/>
    <xf numFmtId="0" fontId="37" fillId="21" borderId="2" applyNumberFormat="0" applyAlignment="0" applyProtection="0"/>
    <xf numFmtId="0" fontId="19" fillId="21" borderId="2" applyNumberFormat="0" applyAlignment="0" applyProtection="0"/>
    <xf numFmtId="0" fontId="38" fillId="22" borderId="0" applyNumberFormat="0">
      <alignment horizontal="center"/>
    </xf>
    <xf numFmtId="37" fontId="3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5" fontId="3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39" fontId="40" fillId="0" borderId="0">
      <alignment horizontal="right"/>
    </xf>
    <xf numFmtId="14" fontId="39" fillId="0" borderId="0" applyFont="0" applyFill="0" applyBorder="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20" fillId="0" borderId="0" applyNumberFormat="0" applyFill="0" applyBorder="0" applyAlignment="0" applyProtection="0"/>
    <xf numFmtId="0" fontId="41" fillId="0" borderId="0" applyNumberFormat="0" applyFill="0" applyBorder="0" applyAlignment="0" applyProtection="0"/>
    <xf numFmtId="0" fontId="20" fillId="0" borderId="0" applyNumberFormat="0" applyFill="0" applyBorder="0" applyAlignment="0" applyProtection="0"/>
    <xf numFmtId="164" fontId="42" fillId="0" borderId="0">
      <protection locked="0"/>
    </xf>
    <xf numFmtId="0" fontId="21" fillId="4" borderId="0" applyNumberFormat="0" applyBorder="0" applyAlignment="0" applyProtection="0"/>
    <xf numFmtId="0" fontId="43" fillId="4" borderId="0" applyNumberFormat="0" applyBorder="0" applyAlignment="0" applyProtection="0"/>
    <xf numFmtId="0" fontId="21" fillId="4" borderId="0" applyNumberFormat="0" applyBorder="0" applyAlignment="0" applyProtection="0"/>
    <xf numFmtId="0" fontId="22" fillId="0" borderId="4" applyNumberFormat="0" applyFill="0" applyAlignment="0" applyProtection="0"/>
    <xf numFmtId="0" fontId="44"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45"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46"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46" fillId="0" borderId="0" applyNumberFormat="0" applyFill="0" applyBorder="0" applyAlignment="0" applyProtection="0"/>
    <xf numFmtId="0" fontId="24" fillId="0" borderId="0" applyNumberFormat="0" applyFill="0" applyBorder="0" applyAlignment="0" applyProtection="0"/>
    <xf numFmtId="164" fontId="47" fillId="0" borderId="0">
      <protection locked="0"/>
    </xf>
    <xf numFmtId="164" fontId="47" fillId="0" borderId="0">
      <protection locked="0"/>
    </xf>
    <xf numFmtId="0" fontId="4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37" fontId="40" fillId="0" borderId="0" applyBorder="0"/>
    <xf numFmtId="0" fontId="25" fillId="7" borderId="1" applyNumberFormat="0" applyAlignment="0" applyProtection="0"/>
    <xf numFmtId="0" fontId="49" fillId="7" borderId="1" applyNumberFormat="0" applyAlignment="0" applyProtection="0"/>
    <xf numFmtId="0" fontId="25" fillId="7" borderId="1" applyNumberFormat="0" applyAlignment="0" applyProtection="0"/>
    <xf numFmtId="0" fontId="26" fillId="0" borderId="7" applyNumberFormat="0" applyFill="0" applyAlignment="0" applyProtection="0"/>
    <xf numFmtId="0" fontId="50" fillId="0" borderId="7" applyNumberFormat="0" applyFill="0" applyAlignment="0" applyProtection="0"/>
    <xf numFmtId="0" fontId="26" fillId="0" borderId="7" applyNumberFormat="0" applyFill="0" applyAlignment="0" applyProtection="0"/>
    <xf numFmtId="43" fontId="3" fillId="0" borderId="0" applyFont="0" applyFill="0" applyBorder="0" applyAlignment="0" applyProtection="0"/>
    <xf numFmtId="0" fontId="27" fillId="23" borderId="0" applyNumberFormat="0" applyBorder="0" applyAlignment="0" applyProtection="0"/>
    <xf numFmtId="0" fontId="51" fillId="23" borderId="0" applyNumberFormat="0" applyBorder="0" applyAlignment="0" applyProtection="0"/>
    <xf numFmtId="0" fontId="27" fillId="23" borderId="0" applyNumberFormat="0" applyBorder="0" applyAlignment="0" applyProtection="0"/>
    <xf numFmtId="0" fontId="3" fillId="0" borderId="0"/>
    <xf numFmtId="0" fontId="3" fillId="0" borderId="0"/>
    <xf numFmtId="0" fontId="3" fillId="0" borderId="0"/>
    <xf numFmtId="0" fontId="32" fillId="0" borderId="0">
      <alignment vertical="top"/>
    </xf>
    <xf numFmtId="0" fontId="3" fillId="0" borderId="0"/>
    <xf numFmtId="0" fontId="3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4" borderId="8" applyNumberFormat="0" applyFont="0" applyAlignment="0" applyProtection="0"/>
    <xf numFmtId="0" fontId="3" fillId="23" borderId="8" applyNumberFormat="0" applyFont="0" applyAlignment="0" applyProtection="0"/>
    <xf numFmtId="0" fontId="3" fillId="24" borderId="8" applyNumberFormat="0" applyFont="0" applyAlignment="0" applyProtection="0"/>
    <xf numFmtId="0" fontId="3" fillId="23" borderId="8" applyNumberFormat="0" applyFont="0" applyAlignment="0" applyProtection="0"/>
    <xf numFmtId="0" fontId="33" fillId="24" borderId="8" applyNumberFormat="0" applyFont="0" applyAlignment="0" applyProtection="0"/>
    <xf numFmtId="0" fontId="3" fillId="23" borderId="8" applyNumberFormat="0" applyFont="0" applyAlignment="0" applyProtection="0"/>
    <xf numFmtId="0" fontId="3" fillId="23" borderId="8" applyNumberFormat="0" applyFont="0" applyAlignment="0" applyProtection="0"/>
    <xf numFmtId="0" fontId="3" fillId="23" borderId="8" applyNumberFormat="0" applyFont="0" applyAlignment="0" applyProtection="0"/>
    <xf numFmtId="0" fontId="3" fillId="23" borderId="8" applyNumberFormat="0" applyFont="0" applyAlignment="0" applyProtection="0"/>
    <xf numFmtId="0" fontId="3" fillId="23" borderId="8" applyNumberFormat="0" applyFont="0" applyAlignment="0" applyProtection="0"/>
    <xf numFmtId="0" fontId="3" fillId="23" borderId="8" applyNumberFormat="0" applyFont="0" applyAlignment="0" applyProtection="0"/>
    <xf numFmtId="0" fontId="3" fillId="23" borderId="8" applyNumberFormat="0" applyFont="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3" fillId="0" borderId="3" applyNumberFormat="0" applyFont="0" applyFill="0" applyAlignment="0" applyProtection="0"/>
    <xf numFmtId="0" fontId="28" fillId="20" borderId="9" applyNumberFormat="0" applyAlignment="0" applyProtection="0"/>
    <xf numFmtId="0" fontId="52" fillId="20" borderId="9" applyNumberFormat="0" applyAlignment="0" applyProtection="0"/>
    <xf numFmtId="0" fontId="28" fillId="20" borderId="9" applyNumberFormat="0" applyAlignment="0" applyProtection="0"/>
    <xf numFmtId="0" fontId="3" fillId="0" borderId="10" applyNumberFormat="0" applyFont="0" applyFill="0" applyAlignment="0" applyProtection="0"/>
    <xf numFmtId="0" fontId="3" fillId="0" borderId="10" applyNumberFormat="0" applyFont="0" applyFill="0" applyAlignment="0" applyProtection="0"/>
    <xf numFmtId="0" fontId="3" fillId="0" borderId="10" applyNumberFormat="0" applyFont="0" applyFill="0" applyAlignment="0" applyProtection="0"/>
    <xf numFmtId="0" fontId="3" fillId="0" borderId="10" applyNumberFormat="0" applyFont="0" applyFill="0" applyAlignment="0" applyProtection="0"/>
    <xf numFmtId="0" fontId="3" fillId="0" borderId="10" applyNumberFormat="0" applyFont="0" applyFill="0" applyAlignment="0" applyProtection="0"/>
    <xf numFmtId="0" fontId="3" fillId="0" borderId="10" applyNumberFormat="0" applyFont="0" applyFill="0" applyAlignment="0" applyProtection="0"/>
    <xf numFmtId="0" fontId="3" fillId="0" borderId="10" applyNumberFormat="0" applyFont="0" applyFill="0" applyAlignment="0" applyProtection="0"/>
    <xf numFmtId="0" fontId="3" fillId="0" borderId="10" applyNumberFormat="0" applyFont="0" applyFill="0" applyAlignment="0" applyProtection="0"/>
    <xf numFmtId="0" fontId="3" fillId="0" borderId="10" applyNumberFormat="0" applyFont="0" applyFill="0" applyAlignment="0" applyProtection="0"/>
    <xf numFmtId="0" fontId="3" fillId="0" borderId="10" applyNumberFormat="0" applyFont="0" applyFill="0" applyAlignment="0" applyProtection="0"/>
    <xf numFmtId="9" fontId="3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 fillId="0" borderId="0" applyNumberFormat="0" applyFont="0" applyFill="0" applyBorder="0" applyAlignment="0" applyProtection="0">
      <alignment horizontal="left"/>
    </xf>
    <xf numFmtId="15" fontId="10" fillId="0" borderId="0" applyFont="0" applyFill="0" applyBorder="0" applyAlignment="0" applyProtection="0"/>
    <xf numFmtId="4" fontId="10" fillId="0" borderId="0" applyFont="0" applyFill="0" applyBorder="0" applyAlignment="0" applyProtection="0"/>
    <xf numFmtId="0" fontId="11" fillId="0" borderId="11">
      <alignment horizontal="center"/>
    </xf>
    <xf numFmtId="3" fontId="10" fillId="0" borderId="0" applyFont="0" applyFill="0" applyBorder="0" applyAlignment="0" applyProtection="0"/>
    <xf numFmtId="0" fontId="10" fillId="25" borderId="0" applyNumberFormat="0" applyFont="0" applyBorder="0" applyAlignment="0" applyProtection="0"/>
    <xf numFmtId="49" fontId="40" fillId="0" borderId="0"/>
    <xf numFmtId="22" fontId="39" fillId="0" borderId="0" applyFont="0" applyFill="0" applyBorder="0" applyAlignment="0" applyProtection="0"/>
    <xf numFmtId="0" fontId="29" fillId="0" borderId="0" applyNumberFormat="0" applyFill="0" applyBorder="0" applyAlignment="0" applyProtection="0"/>
    <xf numFmtId="0" fontId="53" fillId="0" borderId="0" applyNumberFormat="0" applyFill="0" applyBorder="0" applyAlignment="0" applyProtection="0"/>
    <xf numFmtId="0" fontId="29" fillId="0" borderId="0" applyNumberFormat="0" applyFill="0" applyBorder="0" applyAlignment="0" applyProtection="0"/>
    <xf numFmtId="0" fontId="54" fillId="0" borderId="0">
      <alignment horizontal="center"/>
    </xf>
    <xf numFmtId="0" fontId="55" fillId="0" borderId="0">
      <alignment horizontal="center"/>
    </xf>
    <xf numFmtId="0" fontId="30" fillId="0" borderId="12" applyNumberFormat="0" applyFill="0" applyAlignment="0" applyProtection="0"/>
    <xf numFmtId="0" fontId="56" fillId="0" borderId="12" applyNumberFormat="0" applyFill="0" applyAlignment="0" applyProtection="0"/>
    <xf numFmtId="0" fontId="30" fillId="0" borderId="12" applyNumberFormat="0" applyFill="0" applyAlignment="0" applyProtection="0"/>
    <xf numFmtId="0" fontId="3" fillId="22" borderId="0" applyNumberFormat="0" applyFont="0" applyBorder="0" applyAlignment="0" applyProtection="0"/>
    <xf numFmtId="0" fontId="3" fillId="22" borderId="0" applyNumberFormat="0" applyFont="0" applyBorder="0" applyAlignment="0" applyProtection="0"/>
    <xf numFmtId="0" fontId="3" fillId="22" borderId="0" applyNumberFormat="0" applyFont="0" applyBorder="0" applyAlignment="0" applyProtection="0"/>
    <xf numFmtId="0" fontId="3" fillId="22" borderId="0" applyNumberFormat="0" applyFont="0" applyBorder="0" applyAlignment="0" applyProtection="0"/>
    <xf numFmtId="0" fontId="3" fillId="22" borderId="0" applyNumberFormat="0" applyFont="0" applyBorder="0" applyAlignment="0" applyProtection="0"/>
    <xf numFmtId="0" fontId="3" fillId="22" borderId="0" applyNumberFormat="0" applyFont="0" applyBorder="0" applyAlignment="0" applyProtection="0"/>
    <xf numFmtId="0" fontId="3" fillId="22" borderId="0" applyNumberFormat="0" applyFont="0" applyBorder="0" applyAlignment="0" applyProtection="0"/>
    <xf numFmtId="0" fontId="3" fillId="22" borderId="0" applyNumberFormat="0" applyFont="0" applyBorder="0" applyAlignment="0" applyProtection="0"/>
    <xf numFmtId="0" fontId="3" fillId="22" borderId="0" applyNumberFormat="0" applyFont="0" applyBorder="0" applyAlignment="0" applyProtection="0"/>
    <xf numFmtId="0" fontId="3" fillId="22" borderId="0" applyNumberFormat="0" applyFont="0" applyBorder="0" applyAlignment="0" applyProtection="0"/>
    <xf numFmtId="0" fontId="3" fillId="0" borderId="11" applyNumberFormat="0" applyFont="0" applyFill="0" applyAlignment="0" applyProtection="0"/>
    <xf numFmtId="0" fontId="3" fillId="0" borderId="11" applyNumberFormat="0" applyFont="0" applyFill="0" applyAlignment="0" applyProtection="0"/>
    <xf numFmtId="0" fontId="3" fillId="0" borderId="11" applyNumberFormat="0" applyFont="0" applyFill="0" applyAlignment="0" applyProtection="0"/>
    <xf numFmtId="0" fontId="3" fillId="0" borderId="11" applyNumberFormat="0" applyFont="0" applyFill="0" applyAlignment="0" applyProtection="0"/>
    <xf numFmtId="0" fontId="3" fillId="0" borderId="11" applyNumberFormat="0" applyFont="0" applyFill="0" applyAlignment="0" applyProtection="0"/>
    <xf numFmtId="0" fontId="3" fillId="0" borderId="11" applyNumberFormat="0" applyFont="0" applyFill="0" applyAlignment="0" applyProtection="0"/>
    <xf numFmtId="0" fontId="3" fillId="0" borderId="11" applyNumberFormat="0" applyFont="0" applyFill="0" applyAlignment="0" applyProtection="0"/>
    <xf numFmtId="0" fontId="3" fillId="0" borderId="11" applyNumberFormat="0" applyFont="0" applyFill="0" applyAlignment="0" applyProtection="0"/>
    <xf numFmtId="0" fontId="3" fillId="0" borderId="11" applyNumberFormat="0" applyFont="0" applyFill="0" applyAlignment="0" applyProtection="0"/>
    <xf numFmtId="0" fontId="3" fillId="0" borderId="11" applyNumberFormat="0" applyFont="0" applyFill="0" applyAlignment="0" applyProtection="0"/>
    <xf numFmtId="0" fontId="31" fillId="0" borderId="0" applyNumberFormat="0" applyFill="0" applyBorder="0" applyAlignment="0" applyProtection="0"/>
    <xf numFmtId="0" fontId="57" fillId="0" borderId="0" applyNumberFormat="0" applyFill="0" applyBorder="0" applyAlignment="0" applyProtection="0"/>
    <xf numFmtId="0" fontId="31"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1" fillId="0" borderId="0" applyFont="0" applyFill="0" applyBorder="0" applyAlignment="0" applyProtection="0"/>
    <xf numFmtId="44" fontId="61" fillId="0" borderId="0" applyFont="0" applyFill="0" applyBorder="0" applyAlignment="0" applyProtection="0"/>
    <xf numFmtId="0" fontId="1" fillId="0" borderId="0"/>
  </cellStyleXfs>
  <cellXfs count="175">
    <xf numFmtId="0" fontId="0" fillId="0" borderId="0" xfId="0"/>
    <xf numFmtId="0" fontId="5" fillId="26" borderId="0" xfId="0" applyFont="1" applyFill="1"/>
    <xf numFmtId="0" fontId="5" fillId="26" borderId="0" xfId="0" applyFont="1" applyFill="1" applyProtection="1">
      <protection locked="0"/>
    </xf>
    <xf numFmtId="0" fontId="3" fillId="0" borderId="0" xfId="0" applyFont="1"/>
    <xf numFmtId="0" fontId="5" fillId="26" borderId="0" xfId="0" applyFont="1" applyFill="1" applyAlignment="1" applyProtection="1">
      <alignment horizontal="left" vertical="center"/>
      <protection locked="0"/>
    </xf>
    <xf numFmtId="0" fontId="3" fillId="26" borderId="0" xfId="0" applyFont="1" applyFill="1"/>
    <xf numFmtId="0" fontId="3" fillId="27" borderId="0" xfId="0" applyFont="1" applyFill="1"/>
    <xf numFmtId="0" fontId="7" fillId="27" borderId="0" xfId="0" applyFont="1" applyFill="1"/>
    <xf numFmtId="0" fontId="3" fillId="28" borderId="0" xfId="0" applyFont="1" applyFill="1"/>
    <xf numFmtId="0" fontId="7" fillId="28" borderId="0" xfId="0" applyFont="1" applyFill="1"/>
    <xf numFmtId="0" fontId="4" fillId="27" borderId="0" xfId="0" applyFont="1" applyFill="1"/>
    <xf numFmtId="0" fontId="4" fillId="28" borderId="0" xfId="0" applyFont="1" applyFill="1"/>
    <xf numFmtId="0" fontId="8" fillId="27" borderId="0" xfId="0" applyFont="1" applyFill="1"/>
    <xf numFmtId="0" fontId="7" fillId="29" borderId="0" xfId="0" applyFont="1" applyFill="1"/>
    <xf numFmtId="0" fontId="7" fillId="29" borderId="0" xfId="709" applyFont="1" applyFill="1"/>
    <xf numFmtId="0" fontId="7" fillId="29" borderId="0" xfId="709" applyFont="1" applyFill="1" applyAlignment="1" applyProtection="1">
      <alignment horizontal="left" vertical="center"/>
      <protection locked="0"/>
    </xf>
    <xf numFmtId="0" fontId="6" fillId="29" borderId="0" xfId="0" applyFont="1" applyFill="1"/>
    <xf numFmtId="0" fontId="7" fillId="30" borderId="0" xfId="0" applyFont="1" applyFill="1"/>
    <xf numFmtId="0" fontId="8" fillId="30" borderId="0" xfId="0" applyFont="1" applyFill="1"/>
    <xf numFmtId="0" fontId="4" fillId="0" borderId="0" xfId="0" applyFont="1" applyFill="1"/>
    <xf numFmtId="0" fontId="7" fillId="0" borderId="0" xfId="0" applyFont="1" applyFill="1"/>
    <xf numFmtId="0" fontId="7" fillId="30" borderId="0" xfId="0" applyFont="1" applyFill="1" applyAlignment="1">
      <alignment horizontal="left"/>
    </xf>
    <xf numFmtId="0" fontId="3" fillId="29" borderId="0" xfId="0" applyFont="1" applyFill="1"/>
    <xf numFmtId="0" fontId="9" fillId="26" borderId="0" xfId="715" applyNumberFormat="1" applyFont="1" applyFill="1" applyProtection="1">
      <protection locked="0"/>
    </xf>
    <xf numFmtId="0" fontId="12" fillId="31" borderId="13" xfId="0" applyFont="1" applyFill="1" applyBorder="1" applyAlignment="1">
      <alignment vertical="top"/>
    </xf>
    <xf numFmtId="0" fontId="13" fillId="31" borderId="13" xfId="0" applyFont="1" applyFill="1" applyBorder="1" applyAlignment="1">
      <alignment vertical="top" wrapText="1"/>
    </xf>
    <xf numFmtId="0" fontId="14" fillId="31" borderId="13" xfId="0" applyFont="1" applyFill="1" applyBorder="1" applyAlignment="1">
      <alignment vertical="top"/>
    </xf>
    <xf numFmtId="0" fontId="13" fillId="31" borderId="13" xfId="0" applyFont="1" applyFill="1" applyBorder="1"/>
    <xf numFmtId="0" fontId="13" fillId="31" borderId="14" xfId="0" applyFont="1" applyFill="1" applyBorder="1"/>
    <xf numFmtId="0" fontId="14" fillId="0" borderId="15" xfId="0" applyFont="1" applyBorder="1" applyAlignment="1">
      <alignment vertical="top"/>
    </xf>
    <xf numFmtId="0" fontId="13" fillId="0" borderId="15" xfId="0" applyFont="1" applyBorder="1" applyAlignment="1">
      <alignment vertical="top" wrapText="1"/>
    </xf>
    <xf numFmtId="0" fontId="13" fillId="0" borderId="15" xfId="0" applyFont="1" applyBorder="1" applyAlignment="1">
      <alignment horizontal="left"/>
    </xf>
    <xf numFmtId="0" fontId="13" fillId="0" borderId="15" xfId="0" applyFont="1" applyBorder="1"/>
    <xf numFmtId="0" fontId="13" fillId="0" borderId="14" xfId="0" applyFont="1" applyBorder="1"/>
    <xf numFmtId="0" fontId="13" fillId="0" borderId="14" xfId="0" applyFont="1" applyBorder="1" applyAlignment="1">
      <alignment vertical="top"/>
    </xf>
    <xf numFmtId="0" fontId="13" fillId="0" borderId="14" xfId="0" applyFont="1" applyBorder="1" applyAlignment="1">
      <alignment vertical="top" wrapText="1"/>
    </xf>
    <xf numFmtId="0" fontId="13" fillId="0" borderId="14" xfId="0" applyFont="1" applyBorder="1" applyAlignment="1">
      <alignment horizontal="left"/>
    </xf>
    <xf numFmtId="0" fontId="13" fillId="0" borderId="15" xfId="0" applyFont="1" applyBorder="1" applyAlignment="1">
      <alignment wrapText="1"/>
    </xf>
    <xf numFmtId="0" fontId="15" fillId="0" borderId="15" xfId="0" applyFont="1" applyBorder="1" applyAlignment="1">
      <alignment wrapText="1"/>
    </xf>
    <xf numFmtId="0" fontId="15" fillId="0" borderId="14" xfId="0" applyFont="1" applyBorder="1" applyAlignment="1">
      <alignment vertical="top"/>
    </xf>
    <xf numFmtId="0" fontId="15" fillId="0" borderId="14" xfId="0" applyFont="1" applyBorder="1" applyAlignment="1">
      <alignment vertical="top" wrapText="1"/>
    </xf>
    <xf numFmtId="0" fontId="13" fillId="0" borderId="14" xfId="0" applyFont="1" applyBorder="1" applyAlignment="1"/>
    <xf numFmtId="0" fontId="13" fillId="0" borderId="13" xfId="0" applyFont="1" applyBorder="1" applyAlignment="1">
      <alignment vertical="top"/>
    </xf>
    <xf numFmtId="0" fontId="13" fillId="0" borderId="13" xfId="0" applyFont="1" applyBorder="1" applyAlignment="1">
      <alignment vertical="top" wrapText="1"/>
    </xf>
    <xf numFmtId="0" fontId="13" fillId="0" borderId="13" xfId="0" applyFont="1" applyBorder="1" applyAlignment="1">
      <alignment horizontal="left"/>
    </xf>
    <xf numFmtId="0" fontId="13" fillId="0" borderId="13" xfId="0" applyFont="1" applyBorder="1"/>
    <xf numFmtId="0" fontId="13" fillId="0" borderId="15" xfId="0" applyFont="1" applyBorder="1" applyAlignment="1">
      <alignment vertical="top"/>
    </xf>
    <xf numFmtId="0" fontId="13" fillId="0" borderId="15" xfId="0" applyFont="1" applyBorder="1" applyAlignment="1"/>
    <xf numFmtId="0" fontId="13" fillId="0" borderId="16" xfId="0" applyFont="1" applyBorder="1"/>
    <xf numFmtId="0" fontId="58" fillId="32" borderId="14" xfId="0" applyFont="1" applyFill="1" applyBorder="1"/>
    <xf numFmtId="0" fontId="58" fillId="32" borderId="14" xfId="0" applyFont="1" applyFill="1" applyBorder="1" applyAlignment="1">
      <alignment vertical="top"/>
    </xf>
    <xf numFmtId="0" fontId="58" fillId="32" borderId="14" xfId="0" applyFont="1" applyFill="1" applyBorder="1" applyAlignment="1">
      <alignment vertical="top" wrapText="1"/>
    </xf>
    <xf numFmtId="0" fontId="58" fillId="32" borderId="14" xfId="0" applyFont="1" applyFill="1" applyBorder="1" applyAlignment="1">
      <alignment horizontal="center"/>
    </xf>
    <xf numFmtId="0" fontId="58" fillId="32" borderId="13" xfId="0" applyFont="1" applyFill="1" applyBorder="1"/>
    <xf numFmtId="0" fontId="58" fillId="32" borderId="13" xfId="0" applyFont="1" applyFill="1" applyBorder="1" applyAlignment="1">
      <alignment vertical="top"/>
    </xf>
    <xf numFmtId="0" fontId="58" fillId="32" borderId="13" xfId="0" applyFont="1" applyFill="1" applyBorder="1" applyAlignment="1">
      <alignment vertical="top" wrapText="1"/>
    </xf>
    <xf numFmtId="0" fontId="58" fillId="32" borderId="13" xfId="0" applyFont="1" applyFill="1" applyBorder="1" applyAlignment="1">
      <alignment horizontal="center"/>
    </xf>
    <xf numFmtId="0" fontId="59" fillId="0" borderId="16" xfId="0" applyFont="1" applyBorder="1"/>
    <xf numFmtId="0" fontId="60" fillId="0" borderId="15" xfId="0" applyFont="1" applyBorder="1" applyAlignment="1">
      <alignment horizontal="left" vertical="top"/>
    </xf>
    <xf numFmtId="0" fontId="60" fillId="0" borderId="15" xfId="0" applyFont="1" applyBorder="1" applyAlignment="1">
      <alignment vertical="top" wrapText="1"/>
    </xf>
    <xf numFmtId="0" fontId="60" fillId="0" borderId="15" xfId="0" applyFont="1" applyBorder="1" applyAlignment="1">
      <alignment horizontal="center"/>
    </xf>
    <xf numFmtId="0" fontId="60" fillId="0" borderId="15" xfId="0" applyFont="1" applyBorder="1"/>
    <xf numFmtId="0" fontId="59" fillId="0" borderId="15" xfId="0" applyFont="1" applyBorder="1"/>
    <xf numFmtId="0" fontId="59" fillId="0" borderId="14" xfId="0" applyFont="1" applyBorder="1"/>
    <xf numFmtId="0" fontId="60" fillId="26" borderId="15" xfId="0" applyFont="1" applyFill="1" applyBorder="1" applyAlignment="1">
      <alignment horizontal="left" vertical="top"/>
    </xf>
    <xf numFmtId="0" fontId="59" fillId="0" borderId="15" xfId="0" applyFont="1" applyBorder="1" applyAlignment="1">
      <alignment vertical="top" wrapText="1"/>
    </xf>
    <xf numFmtId="0" fontId="59" fillId="0" borderId="15" xfId="0" applyFont="1" applyBorder="1" applyAlignment="1">
      <alignment horizontal="center"/>
    </xf>
    <xf numFmtId="0" fontId="59" fillId="0" borderId="14" xfId="0" applyFont="1" applyBorder="1" applyAlignment="1">
      <alignment horizontal="left" vertical="top"/>
    </xf>
    <xf numFmtId="0" fontId="59" fillId="0" borderId="14" xfId="0" applyFont="1" applyBorder="1" applyAlignment="1">
      <alignment vertical="top" wrapText="1"/>
    </xf>
    <xf numFmtId="0" fontId="59" fillId="0" borderId="14" xfId="0" applyFont="1" applyBorder="1" applyAlignment="1">
      <alignment horizontal="center"/>
    </xf>
    <xf numFmtId="0" fontId="59" fillId="0" borderId="13" xfId="0" applyFont="1" applyBorder="1"/>
    <xf numFmtId="0" fontId="59" fillId="0" borderId="13" xfId="0" applyFont="1" applyBorder="1" applyAlignment="1">
      <alignment horizontal="left" vertical="top"/>
    </xf>
    <xf numFmtId="0" fontId="59" fillId="0" borderId="13" xfId="0" applyFont="1" applyBorder="1" applyAlignment="1">
      <alignment vertical="top" wrapText="1"/>
    </xf>
    <xf numFmtId="0" fontId="59" fillId="0" borderId="13" xfId="0" applyFont="1" applyBorder="1" applyAlignment="1">
      <alignment horizontal="center"/>
    </xf>
    <xf numFmtId="0" fontId="59" fillId="0" borderId="17" xfId="0" applyFont="1" applyBorder="1"/>
    <xf numFmtId="0" fontId="59" fillId="0" borderId="17" xfId="0" applyFont="1" applyBorder="1" applyAlignment="1">
      <alignment horizontal="left" vertical="top"/>
    </xf>
    <xf numFmtId="0" fontId="59" fillId="0" borderId="17" xfId="0" applyFont="1" applyBorder="1" applyAlignment="1">
      <alignment vertical="top" wrapText="1"/>
    </xf>
    <xf numFmtId="0" fontId="59" fillId="0" borderId="17" xfId="0" applyFont="1" applyBorder="1" applyAlignment="1">
      <alignment horizontal="center"/>
    </xf>
    <xf numFmtId="0" fontId="59" fillId="0" borderId="14" xfId="0" applyFont="1" applyBorder="1" applyAlignment="1">
      <alignment vertical="top"/>
    </xf>
    <xf numFmtId="0" fontId="13" fillId="0" borderId="0" xfId="0" applyFont="1" applyFill="1" applyBorder="1" applyAlignment="1">
      <alignment horizontal="left"/>
    </xf>
    <xf numFmtId="165" fontId="13" fillId="0" borderId="0" xfId="0" applyNumberFormat="1" applyFont="1" applyFill="1" applyBorder="1" applyAlignment="1">
      <alignment horizontal="left"/>
    </xf>
    <xf numFmtId="0" fontId="15" fillId="0" borderId="0" xfId="0" applyFont="1" applyFill="1" applyBorder="1" applyAlignment="1"/>
    <xf numFmtId="0" fontId="13" fillId="33" borderId="0" xfId="0" applyFont="1" applyFill="1" applyBorder="1" applyAlignment="1">
      <alignment horizontal="left"/>
    </xf>
    <xf numFmtId="0" fontId="13" fillId="0" borderId="0" xfId="0" applyFont="1" applyBorder="1" applyAlignment="1">
      <alignment horizontal="left"/>
    </xf>
    <xf numFmtId="0" fontId="13" fillId="0" borderId="0" xfId="0" quotePrefix="1" applyFont="1" applyFill="1" applyBorder="1" applyAlignment="1">
      <alignment horizontal="left"/>
    </xf>
    <xf numFmtId="3" fontId="13" fillId="0" borderId="0" xfId="0" applyNumberFormat="1" applyFont="1" applyFill="1" applyBorder="1" applyProtection="1">
      <protection locked="0"/>
    </xf>
    <xf numFmtId="0" fontId="13" fillId="0" borderId="0" xfId="0" applyFont="1" applyFill="1" applyBorder="1" applyProtection="1">
      <protection locked="0"/>
    </xf>
    <xf numFmtId="14" fontId="13" fillId="0" borderId="0" xfId="0" applyNumberFormat="1" applyFont="1" applyBorder="1" applyAlignment="1">
      <alignment horizontal="left"/>
    </xf>
    <xf numFmtId="0" fontId="15" fillId="0" borderId="0" xfId="0" applyFont="1" applyBorder="1" applyAlignment="1"/>
    <xf numFmtId="0" fontId="13" fillId="0" borderId="0" xfId="0" applyFont="1" applyFill="1" applyBorder="1" applyAlignment="1">
      <alignment horizontal="left" wrapText="1"/>
    </xf>
    <xf numFmtId="14" fontId="13" fillId="0" borderId="0" xfId="0" applyNumberFormat="1" applyFont="1" applyFill="1" applyBorder="1" applyAlignment="1">
      <alignment horizontal="left"/>
    </xf>
    <xf numFmtId="0" fontId="13" fillId="0" borderId="0" xfId="0" applyFont="1" applyFill="1" applyBorder="1" applyAlignment="1"/>
    <xf numFmtId="0" fontId="13" fillId="0" borderId="0" xfId="709" applyFont="1" applyFill="1" applyBorder="1" applyAlignment="1">
      <alignment horizontal="left"/>
    </xf>
    <xf numFmtId="0" fontId="15" fillId="0" borderId="0" xfId="0" applyFont="1" applyFill="1" applyBorder="1" applyAlignment="1">
      <alignment horizontal="left"/>
    </xf>
    <xf numFmtId="0" fontId="15" fillId="0" borderId="0" xfId="0" applyFont="1" applyFill="1" applyBorder="1" applyAlignment="1">
      <alignment horizontal="center"/>
    </xf>
    <xf numFmtId="0" fontId="13" fillId="34" borderId="0" xfId="0" applyFont="1" applyFill="1" applyBorder="1" applyAlignment="1">
      <alignment horizontal="left" vertical="center"/>
    </xf>
    <xf numFmtId="0" fontId="13" fillId="35" borderId="0" xfId="0" applyFont="1" applyFill="1" applyBorder="1" applyAlignment="1">
      <alignment horizontal="left" vertical="center"/>
    </xf>
    <xf numFmtId="0" fontId="13" fillId="35" borderId="0" xfId="0" applyFont="1" applyFill="1" applyBorder="1" applyAlignment="1">
      <alignment horizontal="left"/>
    </xf>
    <xf numFmtId="0" fontId="13" fillId="0" borderId="0" xfId="0" quotePrefix="1" applyFont="1" applyBorder="1" applyAlignment="1">
      <alignment horizontal="left"/>
    </xf>
    <xf numFmtId="0" fontId="0" fillId="0" borderId="0" xfId="0" applyNumberFormat="1"/>
    <xf numFmtId="1" fontId="0" fillId="0" borderId="0" xfId="0" applyNumberFormat="1"/>
    <xf numFmtId="43" fontId="13" fillId="0" borderId="0" xfId="908" applyFont="1" applyBorder="1" applyAlignment="1">
      <alignment horizontal="left"/>
    </xf>
    <xf numFmtId="166" fontId="13" fillId="0" borderId="0" xfId="908" applyNumberFormat="1" applyFont="1" applyBorder="1" applyAlignment="1">
      <alignment horizontal="left"/>
    </xf>
    <xf numFmtId="0" fontId="14" fillId="33" borderId="0" xfId="0" applyFont="1" applyFill="1" applyBorder="1" applyAlignment="1">
      <alignment horizontal="left"/>
    </xf>
    <xf numFmtId="166" fontId="14" fillId="33" borderId="0" xfId="908" applyNumberFormat="1" applyFont="1" applyFill="1" applyBorder="1" applyAlignment="1">
      <alignment horizontal="left"/>
    </xf>
    <xf numFmtId="0" fontId="3" fillId="0" borderId="0" xfId="0" applyFont="1" applyFill="1" applyBorder="1" applyAlignment="1">
      <alignment wrapText="1"/>
    </xf>
    <xf numFmtId="0" fontId="3" fillId="0" borderId="0" xfId="0" applyFont="1" applyFill="1" applyBorder="1"/>
    <xf numFmtId="167" fontId="13" fillId="0" borderId="0" xfId="0" applyNumberFormat="1" applyFont="1" applyBorder="1" applyAlignment="1">
      <alignment horizontal="left"/>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xf numFmtId="0" fontId="32" fillId="0" borderId="0" xfId="0" applyNumberFormat="1" applyFont="1" applyFill="1" applyBorder="1" applyAlignment="1" applyProtection="1">
      <alignment horizontal="center" wrapText="1"/>
    </xf>
    <xf numFmtId="167" fontId="62" fillId="0" borderId="0" xfId="375" applyNumberFormat="1" applyFont="1" applyFill="1" applyBorder="1" applyAlignment="1">
      <alignment horizontal="right" vertical="center"/>
    </xf>
    <xf numFmtId="0" fontId="32" fillId="0" borderId="0" xfId="0" applyNumberFormat="1" applyFont="1" applyFill="1" applyBorder="1" applyAlignment="1" applyProtection="1">
      <alignment horizontal="center"/>
    </xf>
    <xf numFmtId="3" fontId="32" fillId="0" borderId="0" xfId="0" applyNumberFormat="1" applyFont="1" applyFill="1" applyBorder="1" applyAlignment="1" applyProtection="1"/>
    <xf numFmtId="3" fontId="32" fillId="0" borderId="0" xfId="0" applyNumberFormat="1" applyFont="1" applyFill="1" applyBorder="1" applyAlignment="1" applyProtection="1">
      <alignment horizontal="center"/>
    </xf>
    <xf numFmtId="0" fontId="3" fillId="0" borderId="0" xfId="0" applyFont="1" applyFill="1" applyBorder="1" applyAlignment="1">
      <alignment horizontal="center"/>
    </xf>
    <xf numFmtId="0" fontId="3" fillId="0" borderId="0" xfId="0" applyFont="1" applyFill="1" applyBorder="1" applyAlignment="1">
      <alignment horizontal="center" wrapText="1"/>
    </xf>
    <xf numFmtId="3" fontId="3" fillId="0" borderId="0" xfId="0" applyNumberFormat="1" applyFont="1" applyFill="1" applyBorder="1"/>
    <xf numFmtId="167" fontId="62" fillId="0" borderId="0" xfId="375" applyNumberFormat="1" applyFont="1" applyBorder="1" applyAlignment="1">
      <alignment horizontal="right" vertical="center"/>
    </xf>
    <xf numFmtId="0" fontId="3" fillId="0" borderId="0" xfId="0" applyFont="1" applyBorder="1" applyAlignment="1">
      <alignment horizontal="center"/>
    </xf>
    <xf numFmtId="0" fontId="3" fillId="0" borderId="0" xfId="0" applyFont="1" applyBorder="1" applyAlignment="1">
      <alignment wrapText="1"/>
    </xf>
    <xf numFmtId="167" fontId="3" fillId="0" borderId="0" xfId="375" applyNumberFormat="1" applyFont="1" applyBorder="1" applyAlignment="1">
      <alignment wrapText="1"/>
    </xf>
    <xf numFmtId="167" fontId="3" fillId="0" borderId="0" xfId="0" applyNumberFormat="1" applyFont="1" applyBorder="1" applyAlignment="1"/>
    <xf numFmtId="167" fontId="3" fillId="0" borderId="0" xfId="375" applyNumberFormat="1" applyFont="1" applyBorder="1" applyAlignment="1">
      <alignment horizontal="right" vertical="center"/>
    </xf>
    <xf numFmtId="0" fontId="3" fillId="0" borderId="0" xfId="0" applyFont="1" applyBorder="1"/>
    <xf numFmtId="3" fontId="3" fillId="0" borderId="0" xfId="0" applyNumberFormat="1" applyFont="1" applyFill="1" applyBorder="1" applyAlignment="1" applyProtection="1"/>
    <xf numFmtId="0" fontId="0" fillId="0" borderId="0" xfId="0" applyFill="1"/>
    <xf numFmtId="44" fontId="0" fillId="0" borderId="0" xfId="375" applyFont="1" applyFill="1"/>
    <xf numFmtId="44" fontId="3" fillId="0" borderId="0" xfId="375" applyFont="1" applyFill="1"/>
    <xf numFmtId="0" fontId="32" fillId="0" borderId="0" xfId="0" applyNumberFormat="1" applyFont="1" applyFill="1" applyBorder="1" applyAlignment="1" applyProtection="1"/>
    <xf numFmtId="42" fontId="32" fillId="0" borderId="0" xfId="375" applyNumberFormat="1" applyFont="1" applyFill="1" applyBorder="1" applyAlignment="1" applyProtection="1"/>
    <xf numFmtId="0" fontId="0" fillId="0" borderId="0" xfId="0" applyBorder="1" applyAlignment="1">
      <alignment wrapText="1"/>
    </xf>
    <xf numFmtId="0" fontId="0" fillId="0" borderId="0" xfId="0" applyBorder="1"/>
    <xf numFmtId="0" fontId="0" fillId="0" borderId="0" xfId="0" applyFill="1" applyBorder="1"/>
    <xf numFmtId="0" fontId="3" fillId="36" borderId="0" xfId="0" applyFont="1" applyFill="1" applyBorder="1"/>
    <xf numFmtId="167" fontId="14" fillId="33" borderId="0" xfId="0" applyNumberFormat="1" applyFont="1" applyFill="1" applyBorder="1" applyAlignment="1">
      <alignment horizontal="left"/>
    </xf>
    <xf numFmtId="0" fontId="13" fillId="37" borderId="0" xfId="0" applyFont="1" applyFill="1" applyBorder="1" applyAlignment="1">
      <alignment horizontal="left"/>
    </xf>
    <xf numFmtId="166" fontId="13" fillId="37" borderId="0" xfId="0" applyNumberFormat="1" applyFont="1" applyFill="1" applyBorder="1" applyAlignment="1">
      <alignment horizontal="left"/>
    </xf>
    <xf numFmtId="0" fontId="13" fillId="34" borderId="0" xfId="0" applyFont="1" applyFill="1" applyBorder="1" applyAlignment="1">
      <alignment horizontal="left" vertical="center" wrapText="1"/>
    </xf>
    <xf numFmtId="0" fontId="14" fillId="0" borderId="0" xfId="0" applyFont="1" applyBorder="1" applyAlignment="1">
      <alignment horizontal="left"/>
    </xf>
    <xf numFmtId="0" fontId="0" fillId="0" borderId="18" xfId="0" applyBorder="1" applyAlignment="1">
      <alignment wrapText="1"/>
    </xf>
    <xf numFmtId="22" fontId="0" fillId="0" borderId="18" xfId="0" applyNumberFormat="1" applyBorder="1" applyAlignment="1">
      <alignment wrapText="1"/>
    </xf>
    <xf numFmtId="0" fontId="13" fillId="34" borderId="0" xfId="0" applyFont="1" applyFill="1" applyBorder="1" applyAlignment="1">
      <alignment horizontal="center" vertical="center" wrapText="1"/>
    </xf>
    <xf numFmtId="0" fontId="13" fillId="0" borderId="0" xfId="0" applyFont="1" applyBorder="1" applyAlignment="1">
      <alignment horizontal="center"/>
    </xf>
    <xf numFmtId="0" fontId="13" fillId="0" borderId="0" xfId="0" applyFont="1" applyFill="1" applyBorder="1" applyAlignment="1">
      <alignment horizontal="center"/>
    </xf>
    <xf numFmtId="0" fontId="14" fillId="33" borderId="0" xfId="0" applyFont="1" applyFill="1" applyBorder="1" applyAlignment="1">
      <alignment horizontal="center"/>
    </xf>
    <xf numFmtId="0" fontId="13" fillId="37" borderId="0" xfId="0" applyFont="1" applyFill="1" applyBorder="1" applyAlignment="1">
      <alignment horizontal="center"/>
    </xf>
    <xf numFmtId="0" fontId="63" fillId="0" borderId="0" xfId="0" applyFont="1" applyBorder="1" applyAlignment="1">
      <alignment horizontal="left"/>
    </xf>
    <xf numFmtId="165" fontId="63" fillId="0" borderId="0" xfId="0" applyNumberFormat="1" applyFont="1" applyBorder="1" applyAlignment="1">
      <alignment horizontal="left"/>
    </xf>
    <xf numFmtId="0" fontId="63" fillId="0" borderId="0" xfId="0" applyFont="1" applyFill="1" applyBorder="1" applyAlignment="1">
      <alignment horizontal="left"/>
    </xf>
    <xf numFmtId="42" fontId="63" fillId="0" borderId="0" xfId="0" applyNumberFormat="1" applyFont="1" applyBorder="1" applyAlignment="1">
      <alignment horizontal="left"/>
    </xf>
    <xf numFmtId="3" fontId="63" fillId="0" borderId="0" xfId="0" applyNumberFormat="1" applyFont="1" applyFill="1" applyBorder="1" applyAlignment="1">
      <alignment horizontal="left"/>
    </xf>
    <xf numFmtId="3" fontId="63" fillId="0" borderId="0" xfId="0" applyNumberFormat="1" applyFont="1" applyBorder="1" applyAlignment="1">
      <alignment horizontal="left"/>
    </xf>
    <xf numFmtId="3" fontId="63" fillId="0" borderId="0" xfId="909" applyNumberFormat="1" applyFont="1" applyFill="1" applyBorder="1" applyAlignment="1">
      <alignment horizontal="left"/>
    </xf>
    <xf numFmtId="166" fontId="14" fillId="0" borderId="19" xfId="0" applyNumberFormat="1" applyFont="1" applyBorder="1" applyAlignment="1">
      <alignment horizontal="left"/>
    </xf>
    <xf numFmtId="0" fontId="13" fillId="33" borderId="0" xfId="0" applyFont="1" applyFill="1" applyBorder="1" applyAlignment="1">
      <alignment horizontal="center"/>
    </xf>
    <xf numFmtId="0" fontId="0" fillId="33" borderId="0" xfId="0" applyNumberFormat="1" applyFill="1"/>
    <xf numFmtId="0" fontId="0" fillId="0" borderId="0" xfId="0" applyProtection="1">
      <protection locked="0"/>
    </xf>
    <xf numFmtId="49" fontId="13" fillId="0" borderId="0" xfId="0" applyNumberFormat="1" applyFont="1" applyBorder="1" applyAlignment="1">
      <alignment horizontal="left"/>
    </xf>
    <xf numFmtId="49" fontId="13" fillId="35" borderId="0" xfId="0" applyNumberFormat="1" applyFont="1" applyFill="1" applyBorder="1" applyAlignment="1">
      <alignment horizontal="left"/>
    </xf>
    <xf numFmtId="0" fontId="66" fillId="33" borderId="20" xfId="910" applyFont="1" applyFill="1" applyBorder="1" applyAlignment="1" applyProtection="1">
      <alignment horizontal="center"/>
      <protection locked="0"/>
    </xf>
    <xf numFmtId="3" fontId="66" fillId="33" borderId="20" xfId="910" applyNumberFormat="1" applyFont="1" applyFill="1" applyBorder="1" applyAlignment="1" applyProtection="1">
      <alignment horizontal="center"/>
      <protection locked="0"/>
    </xf>
    <xf numFmtId="0" fontId="1" fillId="0" borderId="0" xfId="910"/>
    <xf numFmtId="0" fontId="1" fillId="0" borderId="0" xfId="910" applyProtection="1">
      <protection locked="0"/>
    </xf>
    <xf numFmtId="3" fontId="1" fillId="0" borderId="0" xfId="910" applyNumberFormat="1" applyProtection="1">
      <protection locked="0"/>
    </xf>
    <xf numFmtId="0" fontId="67" fillId="0" borderId="0" xfId="0" applyFont="1" applyBorder="1" applyAlignment="1">
      <alignment horizontal="left"/>
    </xf>
    <xf numFmtId="3" fontId="1" fillId="0" borderId="0" xfId="910" applyNumberFormat="1"/>
    <xf numFmtId="3" fontId="1" fillId="0" borderId="21" xfId="910" applyNumberFormat="1" applyBorder="1" applyProtection="1">
      <protection locked="0"/>
    </xf>
    <xf numFmtId="49" fontId="0" fillId="0" borderId="0" xfId="0" applyNumberFormat="1" applyFill="1" applyBorder="1"/>
    <xf numFmtId="49" fontId="3" fillId="0" borderId="0" xfId="0" applyNumberFormat="1" applyFont="1" applyFill="1" applyBorder="1"/>
    <xf numFmtId="49" fontId="13" fillId="0" borderId="0" xfId="0" applyNumberFormat="1" applyFont="1" applyFill="1" applyBorder="1" applyAlignment="1">
      <alignment horizontal="left"/>
    </xf>
    <xf numFmtId="0" fontId="13" fillId="0" borderId="0" xfId="0" applyNumberFormat="1" applyFont="1" applyBorder="1" applyAlignment="1">
      <alignment horizontal="left"/>
    </xf>
    <xf numFmtId="0" fontId="13" fillId="38" borderId="0" xfId="0" applyFont="1" applyFill="1" applyBorder="1" applyAlignment="1">
      <alignment horizontal="left"/>
    </xf>
    <xf numFmtId="0" fontId="0" fillId="0" borderId="0" xfId="0" applyNumberFormat="1" applyFill="1"/>
  </cellXfs>
  <cellStyles count="911">
    <cellStyle name="20% - Accent1 2" xfId="1"/>
    <cellStyle name="20% - Accent1 2 2" xfId="2"/>
    <cellStyle name="20% - Accent1 2 2 2" xfId="3"/>
    <cellStyle name="20% - Accent2 2" xfId="4"/>
    <cellStyle name="20% - Accent2 2 2" xfId="5"/>
    <cellStyle name="20% - Accent2 2 2 2" xfId="6"/>
    <cellStyle name="20% - Accent3 2" xfId="7"/>
    <cellStyle name="20% - Accent3 2 2" xfId="8"/>
    <cellStyle name="20% - Accent3 2 2 2" xfId="9"/>
    <cellStyle name="20% - Accent4 2" xfId="10"/>
    <cellStyle name="20% - Accent4 2 2" xfId="11"/>
    <cellStyle name="20% - Accent4 2 2 2" xfId="12"/>
    <cellStyle name="20% - Accent5 2" xfId="13"/>
    <cellStyle name="20% - Accent5 2 2" xfId="14"/>
    <cellStyle name="20% - Accent5 2 2 2" xfId="15"/>
    <cellStyle name="20% - Accent6 2" xfId="16"/>
    <cellStyle name="20% - Accent6 2 2" xfId="17"/>
    <cellStyle name="20% - Accent6 2 2 2" xfId="18"/>
    <cellStyle name="40% - Accent1 2" xfId="19"/>
    <cellStyle name="40% - Accent1 2 2" xfId="20"/>
    <cellStyle name="40% - Accent1 2 2 2" xfId="21"/>
    <cellStyle name="40% - Accent2 2" xfId="22"/>
    <cellStyle name="40% - Accent2 2 2" xfId="23"/>
    <cellStyle name="40% - Accent2 2 2 2" xfId="24"/>
    <cellStyle name="40% - Accent3 2" xfId="25"/>
    <cellStyle name="40% - Accent3 2 2" xfId="26"/>
    <cellStyle name="40% - Accent3 2 2 2" xfId="27"/>
    <cellStyle name="40% - Accent4 2" xfId="28"/>
    <cellStyle name="40% - Accent4 2 2" xfId="29"/>
    <cellStyle name="40% - Accent4 2 2 2" xfId="30"/>
    <cellStyle name="40% - Accent5 2" xfId="31"/>
    <cellStyle name="40% - Accent5 2 2" xfId="32"/>
    <cellStyle name="40% - Accent5 2 2 2" xfId="33"/>
    <cellStyle name="40% - Accent6 2" xfId="34"/>
    <cellStyle name="40% - Accent6 2 2" xfId="35"/>
    <cellStyle name="40% - Accent6 2 2 2" xfId="36"/>
    <cellStyle name="60% - Accent1 2" xfId="37"/>
    <cellStyle name="60% - Accent1 2 2" xfId="38"/>
    <cellStyle name="60% - Accent1 2 2 2" xfId="39"/>
    <cellStyle name="60% - Accent2 2" xfId="40"/>
    <cellStyle name="60% - Accent2 2 2" xfId="41"/>
    <cellStyle name="60% - Accent2 2 2 2" xfId="42"/>
    <cellStyle name="60% - Accent3 2" xfId="43"/>
    <cellStyle name="60% - Accent3 2 2" xfId="44"/>
    <cellStyle name="60% - Accent3 2 2 2" xfId="45"/>
    <cellStyle name="60% - Accent4 2" xfId="46"/>
    <cellStyle name="60% - Accent4 2 2" xfId="47"/>
    <cellStyle name="60% - Accent4 2 2 2" xfId="48"/>
    <cellStyle name="60% - Accent5 2" xfId="49"/>
    <cellStyle name="60% - Accent5 2 2" xfId="50"/>
    <cellStyle name="60% - Accent5 2 2 2" xfId="51"/>
    <cellStyle name="60% - Accent6 2" xfId="52"/>
    <cellStyle name="60% - Accent6 2 2" xfId="53"/>
    <cellStyle name="60% - Accent6 2 2 2" xfId="54"/>
    <cellStyle name="Accent1 2" xfId="55"/>
    <cellStyle name="Accent1 2 2" xfId="56"/>
    <cellStyle name="Accent1 2 2 2" xfId="57"/>
    <cellStyle name="Accent2 2" xfId="58"/>
    <cellStyle name="Accent2 2 2" xfId="59"/>
    <cellStyle name="Accent2 2 2 2" xfId="60"/>
    <cellStyle name="Accent3 2" xfId="61"/>
    <cellStyle name="Accent3 2 2" xfId="62"/>
    <cellStyle name="Accent3 2 2 2" xfId="63"/>
    <cellStyle name="Accent4 2" xfId="64"/>
    <cellStyle name="Accent4 2 2" xfId="65"/>
    <cellStyle name="Accent4 2 2 2" xfId="66"/>
    <cellStyle name="Accent5 2" xfId="67"/>
    <cellStyle name="Accent5 2 2" xfId="68"/>
    <cellStyle name="Accent5 2 2 2" xfId="69"/>
    <cellStyle name="Accent6 2" xfId="70"/>
    <cellStyle name="Accent6 2 2" xfId="71"/>
    <cellStyle name="Accent6 2 2 2" xfId="72"/>
    <cellStyle name="Bad 2" xfId="73"/>
    <cellStyle name="Bad 2 2" xfId="74"/>
    <cellStyle name="Bad 2 2 2" xfId="75"/>
    <cellStyle name="Calculation 2" xfId="76"/>
    <cellStyle name="Calculation 2 2" xfId="77"/>
    <cellStyle name="Calculation 2 2 2" xfId="78"/>
    <cellStyle name="Check Cell 2" xfId="79"/>
    <cellStyle name="Check Cell 2 2" xfId="80"/>
    <cellStyle name="Check Cell 2 2 2" xfId="81"/>
    <cellStyle name="ColumnHeading" xfId="82"/>
    <cellStyle name="Comma" xfId="908" builtinId="3"/>
    <cellStyle name="Comma (0)" xfId="83"/>
    <cellStyle name="Comma 10" xfId="84"/>
    <cellStyle name="Comma 10 2" xfId="85"/>
    <cellStyle name="Comma 10 2 2" xfId="86"/>
    <cellStyle name="Comma 10 3" xfId="87"/>
    <cellStyle name="Comma 100" xfId="88"/>
    <cellStyle name="Comma 100 2" xfId="89"/>
    <cellStyle name="Comma 101" xfId="90"/>
    <cellStyle name="Comma 101 2" xfId="91"/>
    <cellStyle name="Comma 102" xfId="92"/>
    <cellStyle name="Comma 102 2" xfId="93"/>
    <cellStyle name="Comma 103" xfId="94"/>
    <cellStyle name="Comma 103 2" xfId="95"/>
    <cellStyle name="Comma 104" xfId="96"/>
    <cellStyle name="Comma 104 2" xfId="97"/>
    <cellStyle name="Comma 105" xfId="98"/>
    <cellStyle name="Comma 105 2" xfId="99"/>
    <cellStyle name="Comma 106" xfId="100"/>
    <cellStyle name="Comma 106 2" xfId="101"/>
    <cellStyle name="Comma 107" xfId="102"/>
    <cellStyle name="Comma 107 2" xfId="103"/>
    <cellStyle name="Comma 108" xfId="104"/>
    <cellStyle name="Comma 108 2" xfId="105"/>
    <cellStyle name="Comma 109" xfId="106"/>
    <cellStyle name="Comma 109 2" xfId="107"/>
    <cellStyle name="Comma 11" xfId="108"/>
    <cellStyle name="Comma 11 2" xfId="109"/>
    <cellStyle name="Comma 110" xfId="110"/>
    <cellStyle name="Comma 110 2" xfId="111"/>
    <cellStyle name="Comma 111" xfId="112"/>
    <cellStyle name="Comma 111 2" xfId="113"/>
    <cellStyle name="Comma 112" xfId="114"/>
    <cellStyle name="Comma 112 2" xfId="115"/>
    <cellStyle name="Comma 113" xfId="116"/>
    <cellStyle name="Comma 113 2" xfId="117"/>
    <cellStyle name="Comma 114" xfId="118"/>
    <cellStyle name="Comma 114 2" xfId="119"/>
    <cellStyle name="Comma 115" xfId="120"/>
    <cellStyle name="Comma 115 2" xfId="121"/>
    <cellStyle name="Comma 116" xfId="122"/>
    <cellStyle name="Comma 116 2" xfId="123"/>
    <cellStyle name="Comma 117" xfId="124"/>
    <cellStyle name="Comma 117 2" xfId="125"/>
    <cellStyle name="Comma 118" xfId="126"/>
    <cellStyle name="Comma 118 2" xfId="127"/>
    <cellStyle name="Comma 119" xfId="128"/>
    <cellStyle name="Comma 119 2" xfId="129"/>
    <cellStyle name="Comma 12" xfId="130"/>
    <cellStyle name="Comma 12 2" xfId="131"/>
    <cellStyle name="Comma 120" xfId="132"/>
    <cellStyle name="Comma 120 2" xfId="133"/>
    <cellStyle name="Comma 121" xfId="134"/>
    <cellStyle name="Comma 121 2" xfId="135"/>
    <cellStyle name="Comma 122" xfId="136"/>
    <cellStyle name="Comma 122 2" xfId="137"/>
    <cellStyle name="Comma 123" xfId="138"/>
    <cellStyle name="Comma 123 2" xfId="139"/>
    <cellStyle name="Comma 124" xfId="140"/>
    <cellStyle name="Comma 124 2" xfId="141"/>
    <cellStyle name="Comma 125" xfId="142"/>
    <cellStyle name="Comma 125 2" xfId="143"/>
    <cellStyle name="Comma 126" xfId="144"/>
    <cellStyle name="Comma 126 2" xfId="145"/>
    <cellStyle name="Comma 127" xfId="146"/>
    <cellStyle name="Comma 127 2" xfId="147"/>
    <cellStyle name="Comma 128" xfId="148"/>
    <cellStyle name="Comma 128 2" xfId="149"/>
    <cellStyle name="Comma 129" xfId="150"/>
    <cellStyle name="Comma 129 2" xfId="151"/>
    <cellStyle name="Comma 13" xfId="152"/>
    <cellStyle name="Comma 13 2" xfId="153"/>
    <cellStyle name="Comma 130" xfId="154"/>
    <cellStyle name="Comma 130 2" xfId="155"/>
    <cellStyle name="Comma 131" xfId="156"/>
    <cellStyle name="Comma 131 2" xfId="157"/>
    <cellStyle name="Comma 132" xfId="158"/>
    <cellStyle name="Comma 132 2" xfId="159"/>
    <cellStyle name="Comma 133" xfId="160"/>
    <cellStyle name="Comma 133 2" xfId="161"/>
    <cellStyle name="Comma 134" xfId="162"/>
    <cellStyle name="Comma 134 2" xfId="163"/>
    <cellStyle name="Comma 135" xfId="164"/>
    <cellStyle name="Comma 135 2" xfId="165"/>
    <cellStyle name="Comma 14" xfId="166"/>
    <cellStyle name="Comma 14 2" xfId="167"/>
    <cellStyle name="Comma 15" xfId="168"/>
    <cellStyle name="Comma 15 2" xfId="169"/>
    <cellStyle name="Comma 16" xfId="170"/>
    <cellStyle name="Comma 16 2" xfId="171"/>
    <cellStyle name="Comma 17" xfId="172"/>
    <cellStyle name="Comma 17 2" xfId="173"/>
    <cellStyle name="Comma 18" xfId="174"/>
    <cellStyle name="Comma 18 2" xfId="175"/>
    <cellStyle name="Comma 19" xfId="176"/>
    <cellStyle name="Comma 19 2" xfId="177"/>
    <cellStyle name="Comma 2" xfId="178"/>
    <cellStyle name="Comma 20" xfId="179"/>
    <cellStyle name="Comma 20 2" xfId="180"/>
    <cellStyle name="Comma 21" xfId="181"/>
    <cellStyle name="Comma 21 2" xfId="182"/>
    <cellStyle name="Comma 22" xfId="183"/>
    <cellStyle name="Comma 22 2" xfId="184"/>
    <cellStyle name="Comma 23" xfId="185"/>
    <cellStyle name="Comma 23 2" xfId="186"/>
    <cellStyle name="Comma 24" xfId="187"/>
    <cellStyle name="Comma 24 2" xfId="188"/>
    <cellStyle name="Comma 25" xfId="189"/>
    <cellStyle name="Comma 25 2" xfId="190"/>
    <cellStyle name="Comma 26" xfId="191"/>
    <cellStyle name="Comma 26 2" xfId="192"/>
    <cellStyle name="Comma 27" xfId="193"/>
    <cellStyle name="Comma 27 2" xfId="194"/>
    <cellStyle name="Comma 28" xfId="195"/>
    <cellStyle name="Comma 28 2" xfId="196"/>
    <cellStyle name="Comma 29" xfId="197"/>
    <cellStyle name="Comma 29 2" xfId="198"/>
    <cellStyle name="Comma 3" xfId="199"/>
    <cellStyle name="Comma 3 2" xfId="200"/>
    <cellStyle name="Comma 3 2 2" xfId="201"/>
    <cellStyle name="Comma 3 2 2 2" xfId="202"/>
    <cellStyle name="Comma 3 2 3" xfId="203"/>
    <cellStyle name="Comma 3 3" xfId="204"/>
    <cellStyle name="Comma 3 3 2" xfId="205"/>
    <cellStyle name="Comma 3 3 2 2" xfId="206"/>
    <cellStyle name="Comma 3 3 3" xfId="207"/>
    <cellStyle name="Comma 3 4" xfId="208"/>
    <cellStyle name="Comma 30" xfId="209"/>
    <cellStyle name="Comma 30 2" xfId="210"/>
    <cellStyle name="Comma 31" xfId="211"/>
    <cellStyle name="Comma 31 2" xfId="212"/>
    <cellStyle name="Comma 32" xfId="213"/>
    <cellStyle name="Comma 32 2" xfId="214"/>
    <cellStyle name="Comma 33" xfId="215"/>
    <cellStyle name="Comma 33 2" xfId="216"/>
    <cellStyle name="Comma 34" xfId="217"/>
    <cellStyle name="Comma 34 2" xfId="218"/>
    <cellStyle name="Comma 35" xfId="219"/>
    <cellStyle name="Comma 35 2" xfId="220"/>
    <cellStyle name="Comma 36" xfId="221"/>
    <cellStyle name="Comma 36 2" xfId="222"/>
    <cellStyle name="Comma 37" xfId="223"/>
    <cellStyle name="Comma 37 2" xfId="224"/>
    <cellStyle name="Comma 38" xfId="225"/>
    <cellStyle name="Comma 38 2" xfId="226"/>
    <cellStyle name="Comma 39" xfId="227"/>
    <cellStyle name="Comma 39 2" xfId="228"/>
    <cellStyle name="Comma 4" xfId="229"/>
    <cellStyle name="Comma 4 2" xfId="230"/>
    <cellStyle name="Comma 4 2 2" xfId="231"/>
    <cellStyle name="Comma 4 3" xfId="232"/>
    <cellStyle name="Comma 40" xfId="233"/>
    <cellStyle name="Comma 40 2" xfId="234"/>
    <cellStyle name="Comma 41" xfId="235"/>
    <cellStyle name="Comma 41 2" xfId="236"/>
    <cellStyle name="Comma 42" xfId="237"/>
    <cellStyle name="Comma 42 2" xfId="238"/>
    <cellStyle name="Comma 43" xfId="239"/>
    <cellStyle name="Comma 43 2" xfId="240"/>
    <cellStyle name="Comma 44" xfId="241"/>
    <cellStyle name="Comma 44 2" xfId="242"/>
    <cellStyle name="Comma 45" xfId="243"/>
    <cellStyle name="Comma 45 2" xfId="244"/>
    <cellStyle name="Comma 46" xfId="245"/>
    <cellStyle name="Comma 46 2" xfId="246"/>
    <cellStyle name="Comma 47" xfId="247"/>
    <cellStyle name="Comma 47 2" xfId="248"/>
    <cellStyle name="Comma 48" xfId="249"/>
    <cellStyle name="Comma 48 2" xfId="250"/>
    <cellStyle name="Comma 49" xfId="251"/>
    <cellStyle name="Comma 49 2" xfId="252"/>
    <cellStyle name="Comma 5" xfId="253"/>
    <cellStyle name="Comma 5 2" xfId="254"/>
    <cellStyle name="Comma 5 2 2" xfId="255"/>
    <cellStyle name="Comma 5 3" xfId="256"/>
    <cellStyle name="Comma 50" xfId="257"/>
    <cellStyle name="Comma 50 2" xfId="258"/>
    <cellStyle name="Comma 51" xfId="259"/>
    <cellStyle name="Comma 51 2" xfId="260"/>
    <cellStyle name="Comma 52" xfId="261"/>
    <cellStyle name="Comma 52 2" xfId="262"/>
    <cellStyle name="Comma 53" xfId="263"/>
    <cellStyle name="Comma 53 2" xfId="264"/>
    <cellStyle name="Comma 54" xfId="265"/>
    <cellStyle name="Comma 54 2" xfId="266"/>
    <cellStyle name="Comma 55" xfId="267"/>
    <cellStyle name="Comma 55 2" xfId="268"/>
    <cellStyle name="Comma 56" xfId="269"/>
    <cellStyle name="Comma 56 2" xfId="270"/>
    <cellStyle name="Comma 57" xfId="271"/>
    <cellStyle name="Comma 57 2" xfId="272"/>
    <cellStyle name="Comma 58" xfId="273"/>
    <cellStyle name="Comma 58 2" xfId="274"/>
    <cellStyle name="Comma 59" xfId="275"/>
    <cellStyle name="Comma 59 2" xfId="276"/>
    <cellStyle name="Comma 6" xfId="277"/>
    <cellStyle name="Comma 6 2" xfId="278"/>
    <cellStyle name="Comma 6 2 2" xfId="279"/>
    <cellStyle name="Comma 6 3" xfId="280"/>
    <cellStyle name="Comma 60" xfId="281"/>
    <cellStyle name="Comma 60 2" xfId="282"/>
    <cellStyle name="Comma 61" xfId="283"/>
    <cellStyle name="Comma 61 2" xfId="284"/>
    <cellStyle name="Comma 62" xfId="285"/>
    <cellStyle name="Comma 62 2" xfId="286"/>
    <cellStyle name="Comma 63" xfId="287"/>
    <cellStyle name="Comma 63 2" xfId="288"/>
    <cellStyle name="Comma 64" xfId="289"/>
    <cellStyle name="Comma 64 2" xfId="290"/>
    <cellStyle name="Comma 65" xfId="291"/>
    <cellStyle name="Comma 65 2" xfId="292"/>
    <cellStyle name="Comma 66" xfId="293"/>
    <cellStyle name="Comma 66 2" xfId="294"/>
    <cellStyle name="Comma 67" xfId="295"/>
    <cellStyle name="Comma 67 2" xfId="296"/>
    <cellStyle name="Comma 68" xfId="297"/>
    <cellStyle name="Comma 68 2" xfId="298"/>
    <cellStyle name="Comma 69" xfId="299"/>
    <cellStyle name="Comma 69 2" xfId="300"/>
    <cellStyle name="Comma 7" xfId="301"/>
    <cellStyle name="Comma 7 2" xfId="302"/>
    <cellStyle name="Comma 7 2 2" xfId="303"/>
    <cellStyle name="Comma 7 3" xfId="304"/>
    <cellStyle name="Comma 70" xfId="305"/>
    <cellStyle name="Comma 70 2" xfId="306"/>
    <cellStyle name="Comma 71" xfId="307"/>
    <cellStyle name="Comma 71 2" xfId="308"/>
    <cellStyle name="Comma 72" xfId="309"/>
    <cellStyle name="Comma 72 2" xfId="310"/>
    <cellStyle name="Comma 73" xfId="311"/>
    <cellStyle name="Comma 73 2" xfId="312"/>
    <cellStyle name="Comma 74" xfId="313"/>
    <cellStyle name="Comma 74 2" xfId="314"/>
    <cellStyle name="Comma 75" xfId="315"/>
    <cellStyle name="Comma 75 2" xfId="316"/>
    <cellStyle name="Comma 76" xfId="317"/>
    <cellStyle name="Comma 76 2" xfId="318"/>
    <cellStyle name="Comma 77" xfId="319"/>
    <cellStyle name="Comma 77 2" xfId="320"/>
    <cellStyle name="Comma 78" xfId="321"/>
    <cellStyle name="Comma 78 2" xfId="322"/>
    <cellStyle name="Comma 79" xfId="323"/>
    <cellStyle name="Comma 79 2" xfId="324"/>
    <cellStyle name="Comma 8" xfId="325"/>
    <cellStyle name="Comma 8 2" xfId="326"/>
    <cellStyle name="Comma 8 2 2" xfId="327"/>
    <cellStyle name="Comma 8 3" xfId="328"/>
    <cellStyle name="Comma 80" xfId="329"/>
    <cellStyle name="Comma 80 2" xfId="330"/>
    <cellStyle name="Comma 81" xfId="331"/>
    <cellStyle name="Comma 81 2" xfId="332"/>
    <cellStyle name="Comma 82" xfId="333"/>
    <cellStyle name="Comma 82 2" xfId="334"/>
    <cellStyle name="Comma 83" xfId="335"/>
    <cellStyle name="Comma 83 2" xfId="336"/>
    <cellStyle name="Comma 84" xfId="337"/>
    <cellStyle name="Comma 84 2" xfId="338"/>
    <cellStyle name="Comma 85" xfId="339"/>
    <cellStyle name="Comma 85 2" xfId="340"/>
    <cellStyle name="Comma 86" xfId="341"/>
    <cellStyle name="Comma 86 2" xfId="342"/>
    <cellStyle name="Comma 87" xfId="343"/>
    <cellStyle name="Comma 87 2" xfId="344"/>
    <cellStyle name="Comma 88" xfId="345"/>
    <cellStyle name="Comma 88 2" xfId="346"/>
    <cellStyle name="Comma 89" xfId="347"/>
    <cellStyle name="Comma 89 2" xfId="348"/>
    <cellStyle name="Comma 9" xfId="349"/>
    <cellStyle name="Comma 9 2" xfId="350"/>
    <cellStyle name="Comma 9 2 2" xfId="351"/>
    <cellStyle name="Comma 9 3" xfId="352"/>
    <cellStyle name="Comma 90" xfId="353"/>
    <cellStyle name="Comma 90 2" xfId="354"/>
    <cellStyle name="Comma 91" xfId="355"/>
    <cellStyle name="Comma 91 2" xfId="356"/>
    <cellStyle name="Comma 92" xfId="357"/>
    <cellStyle name="Comma 92 2" xfId="358"/>
    <cellStyle name="Comma 93" xfId="359"/>
    <cellStyle name="Comma 93 2" xfId="360"/>
    <cellStyle name="Comma 94" xfId="361"/>
    <cellStyle name="Comma 94 2" xfId="362"/>
    <cellStyle name="Comma 95" xfId="363"/>
    <cellStyle name="Comma 95 2" xfId="364"/>
    <cellStyle name="Comma 96" xfId="365"/>
    <cellStyle name="Comma 96 2" xfId="366"/>
    <cellStyle name="Comma 97" xfId="367"/>
    <cellStyle name="Comma 97 2" xfId="368"/>
    <cellStyle name="Comma 98" xfId="369"/>
    <cellStyle name="Comma 98 2" xfId="370"/>
    <cellStyle name="Comma 99" xfId="371"/>
    <cellStyle name="Comma 99 2" xfId="372"/>
    <cellStyle name="Comma0" xfId="373"/>
    <cellStyle name="Currency" xfId="909" builtinId="4"/>
    <cellStyle name="Currency (0)" xfId="374"/>
    <cellStyle name="Currency 10" xfId="375"/>
    <cellStyle name="Currency 10 2" xfId="376"/>
    <cellStyle name="Currency 100" xfId="377"/>
    <cellStyle name="Currency 100 2" xfId="378"/>
    <cellStyle name="Currency 101" xfId="379"/>
    <cellStyle name="Currency 101 2" xfId="380"/>
    <cellStyle name="Currency 102" xfId="381"/>
    <cellStyle name="Currency 102 2" xfId="382"/>
    <cellStyle name="Currency 103" xfId="383"/>
    <cellStyle name="Currency 103 2" xfId="384"/>
    <cellStyle name="Currency 104" xfId="385"/>
    <cellStyle name="Currency 104 2" xfId="386"/>
    <cellStyle name="Currency 105" xfId="387"/>
    <cellStyle name="Currency 105 2" xfId="388"/>
    <cellStyle name="Currency 106" xfId="389"/>
    <cellStyle name="Currency 106 2" xfId="390"/>
    <cellStyle name="Currency 107" xfId="391"/>
    <cellStyle name="Currency 107 2" xfId="392"/>
    <cellStyle name="Currency 108" xfId="393"/>
    <cellStyle name="Currency 108 2" xfId="394"/>
    <cellStyle name="Currency 109" xfId="395"/>
    <cellStyle name="Currency 109 2" xfId="396"/>
    <cellStyle name="Currency 11" xfId="397"/>
    <cellStyle name="Currency 11 2" xfId="398"/>
    <cellStyle name="Currency 110" xfId="399"/>
    <cellStyle name="Currency 110 2" xfId="400"/>
    <cellStyle name="Currency 111" xfId="401"/>
    <cellStyle name="Currency 111 2" xfId="402"/>
    <cellStyle name="Currency 112" xfId="403"/>
    <cellStyle name="Currency 112 2" xfId="404"/>
    <cellStyle name="Currency 113" xfId="405"/>
    <cellStyle name="Currency 113 2" xfId="406"/>
    <cellStyle name="Currency 114" xfId="407"/>
    <cellStyle name="Currency 114 2" xfId="408"/>
    <cellStyle name="Currency 115" xfId="409"/>
    <cellStyle name="Currency 115 2" xfId="410"/>
    <cellStyle name="Currency 116" xfId="411"/>
    <cellStyle name="Currency 116 2" xfId="412"/>
    <cellStyle name="Currency 117" xfId="413"/>
    <cellStyle name="Currency 117 2" xfId="414"/>
    <cellStyle name="Currency 118" xfId="415"/>
    <cellStyle name="Currency 118 2" xfId="416"/>
    <cellStyle name="Currency 119" xfId="417"/>
    <cellStyle name="Currency 119 2" xfId="418"/>
    <cellStyle name="Currency 12" xfId="419"/>
    <cellStyle name="Currency 12 2" xfId="420"/>
    <cellStyle name="Currency 120" xfId="421"/>
    <cellStyle name="Currency 120 2" xfId="422"/>
    <cellStyle name="Currency 121" xfId="423"/>
    <cellStyle name="Currency 121 2" xfId="424"/>
    <cellStyle name="Currency 122" xfId="425"/>
    <cellStyle name="Currency 122 2" xfId="426"/>
    <cellStyle name="Currency 123" xfId="427"/>
    <cellStyle name="Currency 123 2" xfId="428"/>
    <cellStyle name="Currency 124" xfId="429"/>
    <cellStyle name="Currency 124 2" xfId="430"/>
    <cellStyle name="Currency 125" xfId="431"/>
    <cellStyle name="Currency 125 2" xfId="432"/>
    <cellStyle name="Currency 126" xfId="433"/>
    <cellStyle name="Currency 126 2" xfId="434"/>
    <cellStyle name="Currency 127" xfId="435"/>
    <cellStyle name="Currency 127 2" xfId="436"/>
    <cellStyle name="Currency 128" xfId="437"/>
    <cellStyle name="Currency 128 2" xfId="438"/>
    <cellStyle name="Currency 129" xfId="439"/>
    <cellStyle name="Currency 129 2" xfId="440"/>
    <cellStyle name="Currency 13" xfId="441"/>
    <cellStyle name="Currency 13 2" xfId="442"/>
    <cellStyle name="Currency 130" xfId="443"/>
    <cellStyle name="Currency 130 2" xfId="444"/>
    <cellStyle name="Currency 131" xfId="445"/>
    <cellStyle name="Currency 131 2" xfId="446"/>
    <cellStyle name="Currency 132" xfId="447"/>
    <cellStyle name="Currency 132 2" xfId="448"/>
    <cellStyle name="Currency 133" xfId="449"/>
    <cellStyle name="Currency 133 2" xfId="450"/>
    <cellStyle name="Currency 134" xfId="451"/>
    <cellStyle name="Currency 134 2" xfId="452"/>
    <cellStyle name="Currency 14" xfId="453"/>
    <cellStyle name="Currency 14 2" xfId="454"/>
    <cellStyle name="Currency 15" xfId="455"/>
    <cellStyle name="Currency 15 2" xfId="456"/>
    <cellStyle name="Currency 16" xfId="457"/>
    <cellStyle name="Currency 16 2" xfId="458"/>
    <cellStyle name="Currency 17" xfId="459"/>
    <cellStyle name="Currency 17 2" xfId="460"/>
    <cellStyle name="Currency 18" xfId="461"/>
    <cellStyle name="Currency 18 2" xfId="462"/>
    <cellStyle name="Currency 19" xfId="463"/>
    <cellStyle name="Currency 19 2" xfId="464"/>
    <cellStyle name="Currency 2" xfId="465"/>
    <cellStyle name="Currency 2 2" xfId="466"/>
    <cellStyle name="Currency 2 2 2" xfId="467"/>
    <cellStyle name="Currency 2 2 2 2" xfId="468"/>
    <cellStyle name="Currency 2 2 3" xfId="469"/>
    <cellStyle name="Currency 2 3" xfId="470"/>
    <cellStyle name="Currency 2 3 2" xfId="471"/>
    <cellStyle name="Currency 2 3 2 2" xfId="472"/>
    <cellStyle name="Currency 2 3 3" xfId="473"/>
    <cellStyle name="Currency 2 4" xfId="474"/>
    <cellStyle name="Currency 20" xfId="475"/>
    <cellStyle name="Currency 20 2" xfId="476"/>
    <cellStyle name="Currency 21" xfId="477"/>
    <cellStyle name="Currency 21 2" xfId="478"/>
    <cellStyle name="Currency 22" xfId="479"/>
    <cellStyle name="Currency 22 2" xfId="480"/>
    <cellStyle name="Currency 23" xfId="481"/>
    <cellStyle name="Currency 23 2" xfId="482"/>
    <cellStyle name="Currency 24" xfId="483"/>
    <cellStyle name="Currency 24 2" xfId="484"/>
    <cellStyle name="Currency 25" xfId="485"/>
    <cellStyle name="Currency 25 2" xfId="486"/>
    <cellStyle name="Currency 26" xfId="487"/>
    <cellStyle name="Currency 26 2" xfId="488"/>
    <cellStyle name="Currency 27" xfId="489"/>
    <cellStyle name="Currency 27 2" xfId="490"/>
    <cellStyle name="Currency 28" xfId="491"/>
    <cellStyle name="Currency 28 2" xfId="492"/>
    <cellStyle name="Currency 29" xfId="493"/>
    <cellStyle name="Currency 29 2" xfId="494"/>
    <cellStyle name="Currency 3" xfId="495"/>
    <cellStyle name="Currency 3 2" xfId="496"/>
    <cellStyle name="Currency 3 2 2" xfId="497"/>
    <cellStyle name="Currency 30" xfId="498"/>
    <cellStyle name="Currency 30 2" xfId="499"/>
    <cellStyle name="Currency 31" xfId="500"/>
    <cellStyle name="Currency 31 2" xfId="501"/>
    <cellStyle name="Currency 32" xfId="502"/>
    <cellStyle name="Currency 32 2" xfId="503"/>
    <cellStyle name="Currency 33" xfId="504"/>
    <cellStyle name="Currency 33 2" xfId="505"/>
    <cellStyle name="Currency 34" xfId="506"/>
    <cellStyle name="Currency 34 2" xfId="507"/>
    <cellStyle name="Currency 35" xfId="508"/>
    <cellStyle name="Currency 35 2" xfId="509"/>
    <cellStyle name="Currency 36" xfId="510"/>
    <cellStyle name="Currency 36 2" xfId="511"/>
    <cellStyle name="Currency 37" xfId="512"/>
    <cellStyle name="Currency 37 2" xfId="513"/>
    <cellStyle name="Currency 38" xfId="514"/>
    <cellStyle name="Currency 38 2" xfId="515"/>
    <cellStyle name="Currency 39" xfId="516"/>
    <cellStyle name="Currency 39 2" xfId="517"/>
    <cellStyle name="Currency 4" xfId="518"/>
    <cellStyle name="Currency 4 2" xfId="519"/>
    <cellStyle name="Currency 4 2 2" xfId="520"/>
    <cellStyle name="Currency 4 3" xfId="521"/>
    <cellStyle name="Currency 40" xfId="522"/>
    <cellStyle name="Currency 40 2" xfId="523"/>
    <cellStyle name="Currency 41" xfId="524"/>
    <cellStyle name="Currency 41 2" xfId="525"/>
    <cellStyle name="Currency 42" xfId="526"/>
    <cellStyle name="Currency 42 2" xfId="527"/>
    <cellStyle name="Currency 43" xfId="528"/>
    <cellStyle name="Currency 43 2" xfId="529"/>
    <cellStyle name="Currency 44" xfId="530"/>
    <cellStyle name="Currency 44 2" xfId="531"/>
    <cellStyle name="Currency 45" xfId="532"/>
    <cellStyle name="Currency 45 2" xfId="533"/>
    <cellStyle name="Currency 46" xfId="534"/>
    <cellStyle name="Currency 46 2" xfId="535"/>
    <cellStyle name="Currency 47" xfId="536"/>
    <cellStyle name="Currency 47 2" xfId="537"/>
    <cellStyle name="Currency 48" xfId="538"/>
    <cellStyle name="Currency 48 2" xfId="539"/>
    <cellStyle name="Currency 49" xfId="540"/>
    <cellStyle name="Currency 49 2" xfId="541"/>
    <cellStyle name="Currency 5" xfId="542"/>
    <cellStyle name="Currency 5 2" xfId="543"/>
    <cellStyle name="Currency 5 2 2" xfId="544"/>
    <cellStyle name="Currency 5 3" xfId="545"/>
    <cellStyle name="Currency 50" xfId="546"/>
    <cellStyle name="Currency 50 2" xfId="547"/>
    <cellStyle name="Currency 51" xfId="548"/>
    <cellStyle name="Currency 51 2" xfId="549"/>
    <cellStyle name="Currency 52" xfId="550"/>
    <cellStyle name="Currency 52 2" xfId="551"/>
    <cellStyle name="Currency 53" xfId="552"/>
    <cellStyle name="Currency 53 2" xfId="553"/>
    <cellStyle name="Currency 54" xfId="554"/>
    <cellStyle name="Currency 54 2" xfId="555"/>
    <cellStyle name="Currency 55" xfId="556"/>
    <cellStyle name="Currency 55 2" xfId="557"/>
    <cellStyle name="Currency 56" xfId="558"/>
    <cellStyle name="Currency 56 2" xfId="559"/>
    <cellStyle name="Currency 57" xfId="560"/>
    <cellStyle name="Currency 57 2" xfId="561"/>
    <cellStyle name="Currency 58" xfId="562"/>
    <cellStyle name="Currency 58 2" xfId="563"/>
    <cellStyle name="Currency 59" xfId="564"/>
    <cellStyle name="Currency 59 2" xfId="565"/>
    <cellStyle name="Currency 6" xfId="566"/>
    <cellStyle name="Currency 6 2" xfId="567"/>
    <cellStyle name="Currency 6 2 2" xfId="568"/>
    <cellStyle name="Currency 6 3" xfId="569"/>
    <cellStyle name="Currency 60" xfId="570"/>
    <cellStyle name="Currency 60 2" xfId="571"/>
    <cellStyle name="Currency 61" xfId="572"/>
    <cellStyle name="Currency 61 2" xfId="573"/>
    <cellStyle name="Currency 62" xfId="574"/>
    <cellStyle name="Currency 62 2" xfId="575"/>
    <cellStyle name="Currency 63" xfId="576"/>
    <cellStyle name="Currency 63 2" xfId="577"/>
    <cellStyle name="Currency 64" xfId="578"/>
    <cellStyle name="Currency 64 2" xfId="579"/>
    <cellStyle name="Currency 65" xfId="580"/>
    <cellStyle name="Currency 65 2" xfId="581"/>
    <cellStyle name="Currency 66" xfId="582"/>
    <cellStyle name="Currency 66 2" xfId="583"/>
    <cellStyle name="Currency 67" xfId="584"/>
    <cellStyle name="Currency 67 2" xfId="585"/>
    <cellStyle name="Currency 68" xfId="586"/>
    <cellStyle name="Currency 68 2" xfId="587"/>
    <cellStyle name="Currency 69" xfId="588"/>
    <cellStyle name="Currency 69 2" xfId="589"/>
    <cellStyle name="Currency 7" xfId="590"/>
    <cellStyle name="Currency 7 2" xfId="591"/>
    <cellStyle name="Currency 7 2 2" xfId="592"/>
    <cellStyle name="Currency 7 3" xfId="593"/>
    <cellStyle name="Currency 70" xfId="594"/>
    <cellStyle name="Currency 70 2" xfId="595"/>
    <cellStyle name="Currency 71" xfId="596"/>
    <cellStyle name="Currency 71 2" xfId="597"/>
    <cellStyle name="Currency 72" xfId="598"/>
    <cellStyle name="Currency 72 2" xfId="599"/>
    <cellStyle name="Currency 73" xfId="600"/>
    <cellStyle name="Currency 73 2" xfId="601"/>
    <cellStyle name="Currency 74" xfId="602"/>
    <cellStyle name="Currency 74 2" xfId="603"/>
    <cellStyle name="Currency 75" xfId="604"/>
    <cellStyle name="Currency 75 2" xfId="605"/>
    <cellStyle name="Currency 76" xfId="606"/>
    <cellStyle name="Currency 76 2" xfId="607"/>
    <cellStyle name="Currency 77" xfId="608"/>
    <cellStyle name="Currency 77 2" xfId="609"/>
    <cellStyle name="Currency 78" xfId="610"/>
    <cellStyle name="Currency 78 2" xfId="611"/>
    <cellStyle name="Currency 79" xfId="612"/>
    <cellStyle name="Currency 79 2" xfId="613"/>
    <cellStyle name="Currency 8" xfId="614"/>
    <cellStyle name="Currency 8 2" xfId="615"/>
    <cellStyle name="Currency 8 2 2" xfId="616"/>
    <cellStyle name="Currency 8 3" xfId="617"/>
    <cellStyle name="Currency 80" xfId="618"/>
    <cellStyle name="Currency 80 2" xfId="619"/>
    <cellStyle name="Currency 81" xfId="620"/>
    <cellStyle name="Currency 81 2" xfId="621"/>
    <cellStyle name="Currency 82" xfId="622"/>
    <cellStyle name="Currency 82 2" xfId="623"/>
    <cellStyle name="Currency 83" xfId="624"/>
    <cellStyle name="Currency 83 2" xfId="625"/>
    <cellStyle name="Currency 84" xfId="626"/>
    <cellStyle name="Currency 84 2" xfId="627"/>
    <cellStyle name="Currency 85" xfId="628"/>
    <cellStyle name="Currency 85 2" xfId="629"/>
    <cellStyle name="Currency 86" xfId="630"/>
    <cellStyle name="Currency 86 2" xfId="631"/>
    <cellStyle name="Currency 87" xfId="632"/>
    <cellStyle name="Currency 87 2" xfId="633"/>
    <cellStyle name="Currency 88" xfId="634"/>
    <cellStyle name="Currency 88 2" xfId="635"/>
    <cellStyle name="Currency 89" xfId="636"/>
    <cellStyle name="Currency 89 2" xfId="637"/>
    <cellStyle name="Currency 9" xfId="638"/>
    <cellStyle name="Currency 9 2" xfId="639"/>
    <cellStyle name="Currency 9 2 2" xfId="640"/>
    <cellStyle name="Currency 9 3" xfId="641"/>
    <cellStyle name="Currency 90" xfId="642"/>
    <cellStyle name="Currency 90 2" xfId="643"/>
    <cellStyle name="Currency 91" xfId="644"/>
    <cellStyle name="Currency 91 2" xfId="645"/>
    <cellStyle name="Currency 92" xfId="646"/>
    <cellStyle name="Currency 92 2" xfId="647"/>
    <cellStyle name="Currency 93" xfId="648"/>
    <cellStyle name="Currency 93 2" xfId="649"/>
    <cellStyle name="Currency 94" xfId="650"/>
    <cellStyle name="Currency 94 2" xfId="651"/>
    <cellStyle name="Currency 95" xfId="652"/>
    <cellStyle name="Currency 95 2" xfId="653"/>
    <cellStyle name="Currency 96" xfId="654"/>
    <cellStyle name="Currency 96 2" xfId="655"/>
    <cellStyle name="Currency 97" xfId="656"/>
    <cellStyle name="Currency 97 2" xfId="657"/>
    <cellStyle name="Currency 98" xfId="658"/>
    <cellStyle name="Currency 98 2" xfId="659"/>
    <cellStyle name="Currency 99" xfId="660"/>
    <cellStyle name="Currency 99 2" xfId="661"/>
    <cellStyle name="Currency0" xfId="662"/>
    <cellStyle name="D" xfId="663"/>
    <cellStyle name="Date" xfId="664"/>
    <cellStyle name="EvenBodyShade" xfId="665"/>
    <cellStyle name="EvenBodyShade 2" xfId="666"/>
    <cellStyle name="EvenBodyShade 2 2" xfId="667"/>
    <cellStyle name="EvenBodyShade 2 2 2" xfId="668"/>
    <cellStyle name="EvenBodyShade 2 3" xfId="669"/>
    <cellStyle name="EvenBodyShade 3" xfId="670"/>
    <cellStyle name="EvenBodyShade 3 2" xfId="671"/>
    <cellStyle name="EvenBodyShade 3 2 2" xfId="672"/>
    <cellStyle name="EvenBodyShade 3 3" xfId="673"/>
    <cellStyle name="EvenBodyShade 4" xfId="674"/>
    <cellStyle name="Explanatory Text 2" xfId="675"/>
    <cellStyle name="Explanatory Text 2 2" xfId="676"/>
    <cellStyle name="Explanatory Text 2 2 2" xfId="677"/>
    <cellStyle name="Fixed" xfId="678"/>
    <cellStyle name="Good 2" xfId="679"/>
    <cellStyle name="Good 2 2" xfId="680"/>
    <cellStyle name="Good 2 2 2" xfId="681"/>
    <cellStyle name="Heading 1 2" xfId="682"/>
    <cellStyle name="Heading 1 2 2" xfId="683"/>
    <cellStyle name="Heading 1 2 2 2" xfId="684"/>
    <cellStyle name="Heading 2 2" xfId="685"/>
    <cellStyle name="Heading 2 2 2" xfId="686"/>
    <cellStyle name="Heading 2 2 2 2" xfId="687"/>
    <cellStyle name="Heading 3 2" xfId="688"/>
    <cellStyle name="Heading 3 2 2" xfId="689"/>
    <cellStyle name="Heading 3 2 2 2" xfId="690"/>
    <cellStyle name="Heading 4 2" xfId="691"/>
    <cellStyle name="Heading 4 2 2" xfId="692"/>
    <cellStyle name="Heading 4 2 2 2" xfId="693"/>
    <cellStyle name="Heading1" xfId="694"/>
    <cellStyle name="Heading2" xfId="695"/>
    <cellStyle name="Hyperlink 2" xfId="696"/>
    <cellStyle name="Hyperlink 3" xfId="697"/>
    <cellStyle name="I" xfId="698"/>
    <cellStyle name="Input 2" xfId="699"/>
    <cellStyle name="Input 2 2" xfId="700"/>
    <cellStyle name="Input 2 2 2" xfId="701"/>
    <cellStyle name="Linked Cell 2" xfId="702"/>
    <cellStyle name="Linked Cell 2 2" xfId="703"/>
    <cellStyle name="Linked Cell 2 2 2" xfId="704"/>
    <cellStyle name="Millares_FebruaryMay20062007 QtrlyPropLiab AcqDisp" xfId="705"/>
    <cellStyle name="Neutral 2" xfId="706"/>
    <cellStyle name="Neutral 2 2" xfId="707"/>
    <cellStyle name="Neutral 2 2 2" xfId="708"/>
    <cellStyle name="Normal" xfId="0" builtinId="0"/>
    <cellStyle name="Normal 2" xfId="709"/>
    <cellStyle name="Normal 2 2" xfId="710"/>
    <cellStyle name="Normal 2 2 2" xfId="711"/>
    <cellStyle name="Normal 2 2 2 2" xfId="712"/>
    <cellStyle name="Normal 2 3" xfId="713"/>
    <cellStyle name="Normal 2_ EQRMS IMPORT TEMPLATE EQ" xfId="714"/>
    <cellStyle name="Normal 3" xfId="715"/>
    <cellStyle name="Normal 3 2" xfId="716"/>
    <cellStyle name="Normal 3 2 2" xfId="717"/>
    <cellStyle name="Normal 3 3" xfId="718"/>
    <cellStyle name="Normal 3_Grubb &amp; Ellis_2011Work" xfId="719"/>
    <cellStyle name="Normal 4" xfId="720"/>
    <cellStyle name="Normal 4 2" xfId="721"/>
    <cellStyle name="Normal 5" xfId="722"/>
    <cellStyle name="Normal 5 2" xfId="723"/>
    <cellStyle name="Normal 6" xfId="910"/>
    <cellStyle name="Note 2" xfId="724"/>
    <cellStyle name="Note 2 2" xfId="725"/>
    <cellStyle name="Note 2 2 2" xfId="726"/>
    <cellStyle name="Note 2 2 2 2" xfId="727"/>
    <cellStyle name="Note 2 3" xfId="728"/>
    <cellStyle name="Note 2_PFG_2011Work" xfId="729"/>
    <cellStyle name="Note 3" xfId="730"/>
    <cellStyle name="Note 3 2" xfId="731"/>
    <cellStyle name="Note 3 2 2" xfId="732"/>
    <cellStyle name="Note 3 3" xfId="733"/>
    <cellStyle name="Note 4" xfId="734"/>
    <cellStyle name="Note 4 2" xfId="735"/>
    <cellStyle name="OddBodyShade" xfId="736"/>
    <cellStyle name="OddBodyShade 2" xfId="737"/>
    <cellStyle name="OddBodyShade 2 2" xfId="738"/>
    <cellStyle name="OddBodyShade 2 2 2" xfId="739"/>
    <cellStyle name="OddBodyShade 2 3" xfId="740"/>
    <cellStyle name="OddBodyShade 3" xfId="741"/>
    <cellStyle name="OddBodyShade 3 2" xfId="742"/>
    <cellStyle name="OddBodyShade 3 2 2" xfId="743"/>
    <cellStyle name="OddBodyShade 3 3" xfId="744"/>
    <cellStyle name="OddBodyShade 4" xfId="745"/>
    <cellStyle name="Output 2" xfId="746"/>
    <cellStyle name="Output 2 2" xfId="747"/>
    <cellStyle name="Output 2 2 2" xfId="748"/>
    <cellStyle name="Overscore" xfId="749"/>
    <cellStyle name="Overscore 2" xfId="750"/>
    <cellStyle name="Overscore 2 2" xfId="751"/>
    <cellStyle name="Overscore 2 2 2" xfId="752"/>
    <cellStyle name="Overscore 2 3" xfId="753"/>
    <cellStyle name="Overscore 3" xfId="754"/>
    <cellStyle name="Overscore 3 2" xfId="755"/>
    <cellStyle name="Overscore 3 2 2" xfId="756"/>
    <cellStyle name="Overscore 3 3" xfId="757"/>
    <cellStyle name="Overscore 4" xfId="758"/>
    <cellStyle name="Percent (0)" xfId="759"/>
    <cellStyle name="Percent 10" xfId="760"/>
    <cellStyle name="Percent 10 2" xfId="761"/>
    <cellStyle name="Percent 11" xfId="762"/>
    <cellStyle name="Percent 11 2" xfId="763"/>
    <cellStyle name="Percent 12" xfId="764"/>
    <cellStyle name="Percent 12 2" xfId="765"/>
    <cellStyle name="Percent 13" xfId="766"/>
    <cellStyle name="Percent 13 2" xfId="767"/>
    <cellStyle name="Percent 14" xfId="768"/>
    <cellStyle name="Percent 14 2" xfId="769"/>
    <cellStyle name="Percent 15" xfId="770"/>
    <cellStyle name="Percent 15 2" xfId="771"/>
    <cellStyle name="Percent 16" xfId="772"/>
    <cellStyle name="Percent 16 2" xfId="773"/>
    <cellStyle name="Percent 17" xfId="774"/>
    <cellStyle name="Percent 17 2" xfId="775"/>
    <cellStyle name="Percent 18" xfId="776"/>
    <cellStyle name="Percent 18 2" xfId="777"/>
    <cellStyle name="Percent 19" xfId="778"/>
    <cellStyle name="Percent 19 2" xfId="779"/>
    <cellStyle name="Percent 2" xfId="780"/>
    <cellStyle name="Percent 20" xfId="781"/>
    <cellStyle name="Percent 20 2" xfId="782"/>
    <cellStyle name="Percent 21" xfId="783"/>
    <cellStyle name="Percent 21 2" xfId="784"/>
    <cellStyle name="Percent 22" xfId="785"/>
    <cellStyle name="Percent 22 2" xfId="786"/>
    <cellStyle name="Percent 23" xfId="787"/>
    <cellStyle name="Percent 23 2" xfId="788"/>
    <cellStyle name="Percent 24" xfId="789"/>
    <cellStyle name="Percent 24 2" xfId="790"/>
    <cellStyle name="Percent 25" xfId="791"/>
    <cellStyle name="Percent 25 2" xfId="792"/>
    <cellStyle name="Percent 26" xfId="793"/>
    <cellStyle name="Percent 26 2" xfId="794"/>
    <cellStyle name="Percent 27" xfId="795"/>
    <cellStyle name="Percent 27 2" xfId="796"/>
    <cellStyle name="Percent 28" xfId="797"/>
    <cellStyle name="Percent 28 2" xfId="798"/>
    <cellStyle name="Percent 29" xfId="799"/>
    <cellStyle name="Percent 29 2" xfId="800"/>
    <cellStyle name="Percent 3" xfId="801"/>
    <cellStyle name="Percent 3 2" xfId="802"/>
    <cellStyle name="Percent 3 2 2" xfId="803"/>
    <cellStyle name="Percent 3 2 2 2" xfId="804"/>
    <cellStyle name="Percent 3 2 3" xfId="805"/>
    <cellStyle name="Percent 3 3" xfId="806"/>
    <cellStyle name="Percent 3 3 2" xfId="807"/>
    <cellStyle name="Percent 3 3 2 2" xfId="808"/>
    <cellStyle name="Percent 3 3 3" xfId="809"/>
    <cellStyle name="Percent 3 4" xfId="810"/>
    <cellStyle name="Percent 30" xfId="811"/>
    <cellStyle name="Percent 30 2" xfId="812"/>
    <cellStyle name="Percent 31" xfId="813"/>
    <cellStyle name="Percent 31 2" xfId="814"/>
    <cellStyle name="Percent 32" xfId="815"/>
    <cellStyle name="Percent 32 2" xfId="816"/>
    <cellStyle name="Percent 33" xfId="817"/>
    <cellStyle name="Percent 33 2" xfId="818"/>
    <cellStyle name="Percent 34" xfId="819"/>
    <cellStyle name="Percent 34 2" xfId="820"/>
    <cellStyle name="Percent 35" xfId="821"/>
    <cellStyle name="Percent 35 2" xfId="822"/>
    <cellStyle name="Percent 4" xfId="823"/>
    <cellStyle name="Percent 4 2" xfId="824"/>
    <cellStyle name="Percent 4 2 2" xfId="825"/>
    <cellStyle name="Percent 4 3" xfId="826"/>
    <cellStyle name="Percent 5" xfId="827"/>
    <cellStyle name="Percent 5 2" xfId="828"/>
    <cellStyle name="Percent 5 2 2" xfId="829"/>
    <cellStyle name="Percent 5 3" xfId="830"/>
    <cellStyle name="Percent 6" xfId="831"/>
    <cellStyle name="Percent 6 2" xfId="832"/>
    <cellStyle name="Percent 6 2 2" xfId="833"/>
    <cellStyle name="Percent 6 3" xfId="834"/>
    <cellStyle name="Percent 7" xfId="835"/>
    <cellStyle name="Percent 7 2" xfId="836"/>
    <cellStyle name="Percent 7 2 2" xfId="837"/>
    <cellStyle name="Percent 7 3" xfId="838"/>
    <cellStyle name="Percent 8" xfId="839"/>
    <cellStyle name="Percent 8 2" xfId="840"/>
    <cellStyle name="Percent 8 2 2" xfId="841"/>
    <cellStyle name="Percent 8 3" xfId="842"/>
    <cellStyle name="Percent 9" xfId="843"/>
    <cellStyle name="Percent 9 2" xfId="844"/>
    <cellStyle name="Percent 9 2 2" xfId="845"/>
    <cellStyle name="Percent 9 3" xfId="846"/>
    <cellStyle name="PSChar" xfId="847"/>
    <cellStyle name="PSDate" xfId="848"/>
    <cellStyle name="PSDec" xfId="849"/>
    <cellStyle name="PSHeading" xfId="850"/>
    <cellStyle name="PSInt" xfId="851"/>
    <cellStyle name="PSSpacer" xfId="852"/>
    <cellStyle name="T" xfId="853"/>
    <cellStyle name="Time" xfId="854"/>
    <cellStyle name="Title 2" xfId="855"/>
    <cellStyle name="Title 2 2" xfId="856"/>
    <cellStyle name="Title 2 2 2" xfId="857"/>
    <cellStyle name="Title1" xfId="858"/>
    <cellStyle name="TitleOther" xfId="859"/>
    <cellStyle name="Total 2" xfId="860"/>
    <cellStyle name="Total 2 2" xfId="861"/>
    <cellStyle name="Total 2 2 2" xfId="862"/>
    <cellStyle name="TotShade" xfId="863"/>
    <cellStyle name="TotShade 2" xfId="864"/>
    <cellStyle name="TotShade 2 2" xfId="865"/>
    <cellStyle name="TotShade 2 2 2" xfId="866"/>
    <cellStyle name="TotShade 2 3" xfId="867"/>
    <cellStyle name="TotShade 3" xfId="868"/>
    <cellStyle name="TotShade 3 2" xfId="869"/>
    <cellStyle name="TotShade 3 2 2" xfId="870"/>
    <cellStyle name="TotShade 3 3" xfId="871"/>
    <cellStyle name="TotShade 4" xfId="872"/>
    <cellStyle name="Underscore" xfId="873"/>
    <cellStyle name="Underscore 2" xfId="874"/>
    <cellStyle name="Underscore 2 2" xfId="875"/>
    <cellStyle name="Underscore 2 2 2" xfId="876"/>
    <cellStyle name="Underscore 2 3" xfId="877"/>
    <cellStyle name="Underscore 3" xfId="878"/>
    <cellStyle name="Underscore 3 2" xfId="879"/>
    <cellStyle name="Underscore 3 2 2" xfId="880"/>
    <cellStyle name="Underscore 3 3" xfId="881"/>
    <cellStyle name="Underscore 4" xfId="882"/>
    <cellStyle name="Warning Text 2" xfId="883"/>
    <cellStyle name="Warning Text 2 2" xfId="884"/>
    <cellStyle name="Warning Text 2 2 2" xfId="885"/>
    <cellStyle name="千分位 2" xfId="886"/>
    <cellStyle name="千分位 2 2" xfId="887"/>
    <cellStyle name="千分位 2 2 2" xfId="888"/>
    <cellStyle name="千分位 2 2 2 2" xfId="889"/>
    <cellStyle name="千分位 2 2 3" xfId="890"/>
    <cellStyle name="千分位 2 3" xfId="891"/>
    <cellStyle name="千分位 2 3 2" xfId="892"/>
    <cellStyle name="千分位 2 4" xfId="893"/>
    <cellStyle name="千分位 3" xfId="894"/>
    <cellStyle name="千分位 3 2" xfId="895"/>
    <cellStyle name="千分位 3 2 2" xfId="896"/>
    <cellStyle name="千分位 3 2 2 2" xfId="897"/>
    <cellStyle name="千分位 3 2 3" xfId="898"/>
    <cellStyle name="千分位 3 3" xfId="899"/>
    <cellStyle name="千分位 3 3 2" xfId="900"/>
    <cellStyle name="千分位 3 3 2 2" xfId="901"/>
    <cellStyle name="千分位 3 3 3" xfId="902"/>
    <cellStyle name="千分位 3 4" xfId="903"/>
    <cellStyle name="千分位 4" xfId="904"/>
    <cellStyle name="千分位 4 2" xfId="905"/>
    <cellStyle name="千分位 4 2 2" xfId="906"/>
    <cellStyle name="千分位 4 3" xfId="9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J%20FINAL%20APPRAISAL%20SCHEDULE%20THURSDAY%209-2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OV-RMS%20Templat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alifornian%20EQ%20Exposures%201305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OJ%20FINAL%20APPRAISAL%20SCHEDULE%20Thursday%209-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erty Values"/>
      <sheetName val="Boiler &amp; Machinery Objects"/>
      <sheetName val="Construction Types"/>
      <sheetName val="Secondary Wind Characteristics"/>
    </sheetNames>
    <sheetDataSet>
      <sheetData sheetId="0"/>
      <sheetData sheetId="1"/>
      <sheetData sheetId="2"/>
      <sheetData sheetId="3">
        <row r="3">
          <cell r="A3" t="str">
            <v>0: Unknown</v>
          </cell>
        </row>
        <row r="4">
          <cell r="A4" t="str">
            <v>1: Obvious signs of duress or distress</v>
          </cell>
        </row>
        <row r="5">
          <cell r="A5" t="str">
            <v>8: Fortified for safer buildings –[Post 2001] (US Only)</v>
          </cell>
        </row>
        <row r="6">
          <cell r="A6" t="str">
            <v>9: Certified design and construction</v>
          </cell>
        </row>
        <row r="9">
          <cell r="A9" t="str">
            <v>0: Unknown</v>
          </cell>
        </row>
        <row r="10">
          <cell r="A10" t="str">
            <v>1: Metal sheathing with EXPOSED fasteners</v>
          </cell>
        </row>
        <row r="11">
          <cell r="A11" t="str">
            <v>2: Metal sheathing</v>
          </cell>
        </row>
        <row r="12">
          <cell r="A12" t="str">
            <v>3: Built-up roof or single ply membrane roof WITH the presence of gutters</v>
          </cell>
        </row>
        <row r="13">
          <cell r="A13" t="str">
            <v>4: Built-up roof or single ply membrane roof WITHOUT the presence of gutters</v>
          </cell>
        </row>
        <row r="14">
          <cell r="A14" t="str">
            <v>5: Concrete or clay tiles</v>
          </cell>
        </row>
        <row r="15">
          <cell r="A15" t="str">
            <v>6: Wood shakes</v>
          </cell>
        </row>
        <row r="16">
          <cell r="A16" t="str">
            <v>7: Normal shingle (55mph)</v>
          </cell>
        </row>
        <row r="17">
          <cell r="A17" t="str">
            <v>8: Normal shingle (55 mph) with secondary water resistance (SWR)</v>
          </cell>
        </row>
        <row r="18">
          <cell r="A18" t="str">
            <v>9: Rated shingle (110mph)</v>
          </cell>
        </row>
        <row r="19">
          <cell r="A19" t="str">
            <v>10: Rated shingle (110mph) with secondary water resistance (SWR)</v>
          </cell>
        </row>
        <row r="29">
          <cell r="A29" t="str">
            <v>0: Unknown</v>
          </cell>
        </row>
        <row r="30">
          <cell r="A30" t="str">
            <v>1: Flat roof WITH parapets</v>
          </cell>
        </row>
        <row r="31">
          <cell r="A31" t="str">
            <v>2: Flatroof WITHOUT parapets</v>
          </cell>
        </row>
        <row r="32">
          <cell r="A32" t="str">
            <v>3: Hip roof with slope &lt; to 6:12 (26.5 degrees)</v>
          </cell>
        </row>
        <row r="33">
          <cell r="A33" t="str">
            <v>4: Hip roof with slope greater than 6:12 (26.5 degrees)</v>
          </cell>
        </row>
        <row r="34">
          <cell r="A34" t="str">
            <v>5: Gable roof with slope less than or equal to 6:12 (26.5 degrees)</v>
          </cell>
        </row>
        <row r="35">
          <cell r="A35" t="str">
            <v>6: Gable roof with slope greater than 6:12 (26.5 degrees)</v>
          </cell>
        </row>
        <row r="36">
          <cell r="A36" t="str">
            <v>7: Braced gable roof with slope less than or equal to 6:12 (26.5 degrees)</v>
          </cell>
        </row>
        <row r="37">
          <cell r="A37" t="str">
            <v>8: Braced gable roof with slope greater than 6:12 (26.5 degrees)</v>
          </cell>
        </row>
        <row r="48">
          <cell r="A48" t="str">
            <v>0: Unknown</v>
          </cell>
        </row>
        <row r="49">
          <cell r="A49" t="str">
            <v>1: Properly installed with adequate anchorage</v>
          </cell>
        </row>
        <row r="50">
          <cell r="A50" t="str">
            <v>2: Obvious signs of deficiencies in the installation</v>
          </cell>
        </row>
        <row r="53">
          <cell r="A53" t="str">
            <v>0: Unknown</v>
          </cell>
        </row>
        <row r="54">
          <cell r="A54" t="str">
            <v>1: No basement</v>
          </cell>
        </row>
        <row r="55">
          <cell r="A55" t="str">
            <v>2: Basement WITH flood protection</v>
          </cell>
        </row>
        <row r="56">
          <cell r="A56" t="str">
            <v>3: Basement WITHOUT flood protection</v>
          </cell>
        </row>
        <row r="57">
          <cell r="A57" t="str">
            <v>4: Basement with unknownflood protection</v>
          </cell>
        </row>
        <row r="60">
          <cell r="A60" t="str">
            <v>0: Unknown</v>
          </cell>
        </row>
        <row r="61">
          <cell r="A61" t="str">
            <v>1: Large signs</v>
          </cell>
        </row>
        <row r="62">
          <cell r="A62" t="str">
            <v>2: Extensive ornamentation</v>
          </cell>
        </row>
        <row r="63">
          <cell r="A63" t="str">
            <v>3: NONE</v>
          </cell>
        </row>
        <row r="66">
          <cell r="A66" t="str">
            <v>0: Unknown</v>
          </cell>
        </row>
        <row r="67">
          <cell r="A67" t="str">
            <v>1: Brick veneer</v>
          </cell>
        </row>
        <row r="68">
          <cell r="A68" t="str">
            <v>2: Metal sheathing</v>
          </cell>
        </row>
        <row r="69">
          <cell r="A69" t="str">
            <v>3: Wood</v>
          </cell>
        </row>
        <row r="70">
          <cell r="A70" t="str">
            <v>4: EIFS / stucco</v>
          </cell>
        </row>
        <row r="71">
          <cell r="A71" t="str">
            <v>5: Designed for impact</v>
          </cell>
        </row>
        <row r="72">
          <cell r="A72" t="str">
            <v>6: Not designed for impact WITH gravel rooftop on building or adjacent buildings within 1000 ft.</v>
          </cell>
        </row>
        <row r="73">
          <cell r="A73" t="str">
            <v>7: Not designed for impact WITHOUT gravel rooftop on building or adjacent buildings within 1000 ft.</v>
          </cell>
        </row>
        <row r="74">
          <cell r="A74" t="str">
            <v>8: Vinyl siding / hardboard</v>
          </cell>
        </row>
        <row r="77">
          <cell r="A77" t="str">
            <v>0: Unknown</v>
          </cell>
        </row>
        <row r="78">
          <cell r="A78" t="str">
            <v>1: Batten decking / skipped sheathing</v>
          </cell>
        </row>
        <row r="79">
          <cell r="A79" t="str">
            <v>2: 6d nails –any nail schedule</v>
          </cell>
        </row>
        <row r="80">
          <cell r="A80" t="str">
            <v>3: 8d Nails –minimum nail schedule</v>
          </cell>
        </row>
        <row r="81">
          <cell r="A81" t="str">
            <v>4: 8d Nails –high wind nail schedule</v>
          </cell>
        </row>
        <row r="82">
          <cell r="A82" t="str">
            <v>5: 10d Nails –high wind nail schedule</v>
          </cell>
        </row>
        <row r="83">
          <cell r="A83" t="str">
            <v>6: Dimensional lumber / tongue and groove decking with a minimum of 2 nails per board</v>
          </cell>
        </row>
        <row r="86">
          <cell r="A86" t="str">
            <v>0: Unknown</v>
          </cell>
        </row>
        <row r="87">
          <cell r="A87" t="str">
            <v>1: Bolted</v>
          </cell>
        </row>
        <row r="88">
          <cell r="A88" t="str">
            <v>2: Unbolted</v>
          </cell>
        </row>
        <row r="91">
          <cell r="A91" t="str">
            <v>0: Unknown</v>
          </cell>
        </row>
        <row r="92">
          <cell r="A92" t="str">
            <v>1: None</v>
          </cell>
        </row>
        <row r="93">
          <cell r="A93" t="str">
            <v>2: Generally protected</v>
          </cell>
        </row>
        <row r="94">
          <cell r="A94" t="str">
            <v>3: Generally unprotected</v>
          </cell>
        </row>
        <row r="97">
          <cell r="A97" t="str">
            <v>0: Unknown</v>
          </cell>
        </row>
        <row r="98">
          <cell r="A98" t="str">
            <v>1: All openings large missiles</v>
          </cell>
        </row>
        <row r="99">
          <cell r="A99" t="str">
            <v>2: All openings medium missiles</v>
          </cell>
        </row>
        <row r="100">
          <cell r="A100" t="str">
            <v>3: All openings small missiles</v>
          </cell>
        </row>
        <row r="101">
          <cell r="A101" t="str">
            <v>4: All gazed openings large missiles</v>
          </cell>
        </row>
        <row r="102">
          <cell r="A102" t="str">
            <v>5: All glazed openings medium missiles</v>
          </cell>
        </row>
        <row r="103">
          <cell r="A103" t="str">
            <v>6: All glazed openings small missiles</v>
          </cell>
        </row>
        <row r="104">
          <cell r="A104" t="str">
            <v>7: All gasec openings covered with plywood/strand board</v>
          </cell>
        </row>
        <row r="105">
          <cell r="A105" t="str">
            <v>8: At least one glazed exterior opening does NOT have wind-borne debris protection</v>
          </cell>
        </row>
        <row r="106">
          <cell r="A106" t="str">
            <v>9: NO glazed exterior openings have wind-borne debris protection</v>
          </cell>
        </row>
        <row r="109">
          <cell r="A109" t="str">
            <v>0: Unknown</v>
          </cell>
        </row>
        <row r="110">
          <cell r="A110" t="str">
            <v>1: Compliant with ES1</v>
          </cell>
        </row>
        <row r="111">
          <cell r="A111" t="str">
            <v>2: Not compliant with ES1</v>
          </cell>
        </row>
        <row r="114">
          <cell r="A114" t="str">
            <v>1: Highly damageable (e.g., unprotected contents made of materials that are highly susceptible to wind and/or water damage (such as paper-based products), or extended power outages (such as contents that require refrigeration))</v>
          </cell>
        </row>
        <row r="115">
          <cell r="A115" t="str">
            <v>2: Moderately damageable (e.g., computers)</v>
          </cell>
        </row>
        <row r="116">
          <cell r="A116" t="str">
            <v>3: Damageable (e.g., general office furniture)</v>
          </cell>
        </row>
        <row r="117">
          <cell r="A117" t="str">
            <v>4: Slightly damageable (e.g., highly protected contents, such as jewelry and fine art, or contents composed of water tolerant material, such as stone or rubber)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V all locations"/>
      <sheetName val="Construction Class"/>
      <sheetName val="Occupancy Type"/>
      <sheetName val="SOV (Florida only)"/>
      <sheetName val="SOV (Calif. only)"/>
      <sheetName val="SOV (Foreign only)"/>
      <sheetName val="Location Fields Template"/>
    </sheetNames>
    <sheetDataSet>
      <sheetData sheetId="0"/>
      <sheetData sheetId="1"/>
      <sheetData sheetId="2"/>
      <sheetData sheetId="3"/>
      <sheetData sheetId="4"/>
      <sheetData sheetId="5"/>
      <sheetData sheetId="6">
        <row r="2">
          <cell r="G2" t="str">
            <v>Unknown</v>
          </cell>
          <cell r="H2" t="str">
            <v>Unknown</v>
          </cell>
          <cell r="J2" t="str">
            <v>Unknown</v>
          </cell>
          <cell r="M2" t="str">
            <v>Unknown</v>
          </cell>
          <cell r="N2" t="str">
            <v>Unknown</v>
          </cell>
          <cell r="O2" t="str">
            <v>Unknown</v>
          </cell>
          <cell r="P2" t="str">
            <v>Unknown</v>
          </cell>
          <cell r="Q2" t="str">
            <v>Unknown</v>
          </cell>
          <cell r="R2" t="str">
            <v>Unknown</v>
          </cell>
          <cell r="S2" t="str">
            <v>Unknown</v>
          </cell>
          <cell r="T2" t="str">
            <v>Unknown</v>
          </cell>
          <cell r="U2" t="str">
            <v>Unknown</v>
          </cell>
          <cell r="V2" t="str">
            <v>Unknown</v>
          </cell>
          <cell r="W2" t="str">
            <v>Unknown</v>
          </cell>
          <cell r="X2" t="str">
            <v>Unknown</v>
          </cell>
          <cell r="Y2" t="str">
            <v>Unknown</v>
          </cell>
          <cell r="Z2" t="str">
            <v>Unknown</v>
          </cell>
          <cell r="AA2" t="str">
            <v>Unknown</v>
          </cell>
          <cell r="AB2" t="str">
            <v>Unknown</v>
          </cell>
        </row>
        <row r="3">
          <cell r="G3" t="str">
            <v>Certified Design and Construction</v>
          </cell>
          <cell r="H3" t="str">
            <v>Basement w/Unknown flood protection</v>
          </cell>
          <cell r="J3" t="str">
            <v>None</v>
          </cell>
          <cell r="M3" t="str">
            <v>Little Ornamentation</v>
          </cell>
          <cell r="N3" t="str">
            <v>Designed for Wind Pressure &amp; Impact resistant</v>
          </cell>
          <cell r="O3" t="str">
            <v>Engineered shutter</v>
          </cell>
          <cell r="P3" t="str">
            <v>Low</v>
          </cell>
          <cell r="Q3" t="str">
            <v>Low</v>
          </cell>
          <cell r="R3" t="str">
            <v>None</v>
          </cell>
          <cell r="S3" t="str">
            <v>None</v>
          </cell>
          <cell r="T3" t="str">
            <v>No Equipment and/or No Skylights</v>
          </cell>
          <cell r="V3" t="str">
            <v>Metal or Bolt Anchors (High strength)</v>
          </cell>
          <cell r="W3" t="str">
            <v>Poured/Cast In-place Concrete</v>
          </cell>
          <cell r="X3" t="str">
            <v>Gable roof high pitch (&gt;30º)</v>
          </cell>
          <cell r="Y3" t="str">
            <v>Building Maintenance Enforced</v>
          </cell>
          <cell r="Z3" t="str">
            <v>Presence of Parapets</v>
          </cell>
          <cell r="AA3" t="str">
            <v>Concrete/Clay Tiles</v>
          </cell>
          <cell r="AB3" t="str">
            <v>Yes</v>
          </cell>
        </row>
        <row r="4">
          <cell r="G4" t="str">
            <v>Certificate of Occupancy</v>
          </cell>
          <cell r="H4" t="str">
            <v>No Basement</v>
          </cell>
          <cell r="J4" t="str">
            <v>Copies, Roof of Overhangs, Carports</v>
          </cell>
          <cell r="M4" t="str">
            <v>Average Amount of Ornamentation</v>
          </cell>
          <cell r="N4" t="str">
            <v>Designed for Wind Pressure only</v>
          </cell>
          <cell r="O4" t="str">
            <v>Simple plywood shutter</v>
          </cell>
          <cell r="P4" t="str">
            <v>Average</v>
          </cell>
          <cell r="Q4" t="str">
            <v>Average</v>
          </cell>
          <cell r="R4" t="str">
            <v>Generally Protected</v>
          </cell>
          <cell r="S4" t="str">
            <v>Generally Braced</v>
          </cell>
          <cell r="T4" t="str">
            <v>Equipment Securely Anchored to Roof</v>
          </cell>
          <cell r="V4" t="str">
            <v>Toe Nailing</v>
          </cell>
          <cell r="W4" t="str">
            <v>Precast Concrete</v>
          </cell>
          <cell r="X4" t="str">
            <v>Hip roof</v>
          </cell>
          <cell r="Y4" t="str">
            <v>No Building Maintenance</v>
          </cell>
          <cell r="Z4" t="str">
            <v>No Parapets</v>
          </cell>
          <cell r="AA4" t="str">
            <v>Metal Sheathing</v>
          </cell>
          <cell r="AB4" t="str">
            <v>No</v>
          </cell>
        </row>
        <row r="5">
          <cell r="G5" t="str">
            <v>No design Review/Inspection</v>
          </cell>
          <cell r="H5" t="str">
            <v>Basement W flood protection</v>
          </cell>
          <cell r="J5" t="str">
            <v>Skylights</v>
          </cell>
          <cell r="M5" t="str">
            <v>Heavy Ornamentation</v>
          </cell>
          <cell r="N5" t="str">
            <v>Not Designed for Wind Protection</v>
          </cell>
          <cell r="O5" t="str">
            <v>Jalousie or awning windows (TO only)</v>
          </cell>
          <cell r="P5" t="str">
            <v>High</v>
          </cell>
          <cell r="Q5" t="str">
            <v>High</v>
          </cell>
          <cell r="R5" t="str">
            <v>Generally UnProtected</v>
          </cell>
          <cell r="S5" t="str">
            <v>Generally non-Braced</v>
          </cell>
          <cell r="T5" t="str">
            <v>Small Roof Area w/ Poorly Anchored Equipment</v>
          </cell>
          <cell r="V5" t="str">
            <v>No anchorage</v>
          </cell>
          <cell r="W5" t="str">
            <v>Heavy Steel Frames</v>
          </cell>
          <cell r="X5" t="str">
            <v>Gable roof unknown pitch</v>
          </cell>
          <cell r="AA5" t="str">
            <v>Single Ply Membrane</v>
          </cell>
        </row>
        <row r="6">
          <cell r="G6" t="str">
            <v>Obvious Signs of Duress/Distress</v>
          </cell>
          <cell r="H6" t="str">
            <v>Basement W/O flood protection</v>
          </cell>
          <cell r="J6" t="str">
            <v>Skylights W Covers</v>
          </cell>
          <cell r="N6" t="str">
            <v>No door (TO only)</v>
          </cell>
          <cell r="O6" t="str">
            <v>Casement windows (TO only)</v>
          </cell>
          <cell r="P6" t="str">
            <v>Very High</v>
          </cell>
          <cell r="Q6" t="str">
            <v>Very High</v>
          </cell>
          <cell r="T6" t="str">
            <v>Substantial Roof Area Covered</v>
          </cell>
          <cell r="V6" t="str">
            <v>Metal or Bolt Anchors (Average Strength)</v>
          </cell>
          <cell r="W6" t="str">
            <v>Light Gauge Steel Purlins</v>
          </cell>
          <cell r="X6" t="str">
            <v>Flat roof</v>
          </cell>
          <cell r="AA6" t="str">
            <v>Built-up Roof</v>
          </cell>
        </row>
        <row r="7">
          <cell r="O7" t="str">
            <v>No shutter</v>
          </cell>
          <cell r="V7" t="str">
            <v>Metal or Bolt Anchors (Above Average Strength) (WS only)</v>
          </cell>
          <cell r="W7" t="str">
            <v>Wood Purlins</v>
          </cell>
          <cell r="X7" t="str">
            <v>Gable roof low pitch (&lt;10º)</v>
          </cell>
          <cell r="AA7" t="str">
            <v>Normal Shingle (55 mph)</v>
          </cell>
        </row>
        <row r="8">
          <cell r="O8" t="str">
            <v>Well-designed plywood shutter</v>
          </cell>
          <cell r="X8" t="str">
            <v>Gable roof medium pitch (10º to 30º)</v>
          </cell>
          <cell r="AA8" t="str">
            <v>Concrete/Clay Tiles</v>
          </cell>
        </row>
        <row r="9">
          <cell r="O9" t="str">
            <v>Laminated Glass (non-impact rated) (WS only)</v>
          </cell>
          <cell r="X9" t="str">
            <v>Monoslope roof</v>
          </cell>
          <cell r="AA9" t="str">
            <v>Wood Shingle</v>
          </cell>
        </row>
        <row r="10">
          <cell r="O10" t="str">
            <v>Impact resistant glass (WS only)</v>
          </cell>
          <cell r="X10" t="str">
            <v>Braced Gable – Medium or Unknown pitch (WS only)</v>
          </cell>
          <cell r="AA10" t="str">
            <v>Rated Shingle (110 mph) (WS only)</v>
          </cell>
        </row>
        <row r="11">
          <cell r="O11" t="str">
            <v>Shutter Designed for Pressure Only (WS only)</v>
          </cell>
          <cell r="X11" t="str">
            <v>Braced Gable – High Pitch (WS only)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 Info - California 07-08"/>
      <sheetName val="Californian EQ 08-09"/>
    </sheetNames>
    <sheetDataSet>
      <sheetData sheetId="0">
        <row r="6">
          <cell r="A6" t="str">
            <v>007</v>
          </cell>
          <cell r="B6" t="str">
            <v>BORAL INSURANCE PTY LIMITED</v>
          </cell>
          <cell r="C6" t="str">
            <v>Boral Insurance Pty Limited</v>
          </cell>
          <cell r="D6" t="str">
            <v>50 Bridge Street</v>
          </cell>
          <cell r="E6" t="str">
            <v>Sydney</v>
          </cell>
          <cell r="F6" t="str">
            <v>2000</v>
          </cell>
          <cell r="G6" t="str">
            <v>New South Wales</v>
          </cell>
          <cell r="H6" t="str">
            <v>Australia</v>
          </cell>
          <cell r="I6" t="str">
            <v>Not Applicable</v>
          </cell>
          <cell r="J6">
            <v>0</v>
          </cell>
          <cell r="K6">
            <v>0</v>
          </cell>
          <cell r="L6">
            <v>0</v>
          </cell>
          <cell r="M6">
            <v>0</v>
          </cell>
          <cell r="N6">
            <v>0</v>
          </cell>
          <cell r="O6">
            <v>0</v>
          </cell>
        </row>
        <row r="7">
          <cell r="A7" t="str">
            <v>008</v>
          </cell>
          <cell r="B7" t="str">
            <v>BORAL INTERNATIONAL LIMITED</v>
          </cell>
          <cell r="C7" t="str">
            <v>Boral International Pty Limited</v>
          </cell>
          <cell r="D7" t="str">
            <v>Level 39    50 Bridge Street</v>
          </cell>
          <cell r="E7" t="str">
            <v>Sydney</v>
          </cell>
          <cell r="F7" t="str">
            <v>2000</v>
          </cell>
          <cell r="G7" t="str">
            <v>New South Wales</v>
          </cell>
          <cell r="H7" t="str">
            <v>Australia</v>
          </cell>
          <cell r="I7" t="str">
            <v>Not Applicable</v>
          </cell>
          <cell r="J7">
            <v>0</v>
          </cell>
          <cell r="K7">
            <v>0</v>
          </cell>
          <cell r="L7">
            <v>0</v>
          </cell>
          <cell r="M7">
            <v>0</v>
          </cell>
          <cell r="N7">
            <v>0</v>
          </cell>
          <cell r="O7">
            <v>0</v>
          </cell>
        </row>
        <row r="8">
          <cell r="A8" t="str">
            <v>011</v>
          </cell>
          <cell r="B8" t="str">
            <v>BORAL LIMITED</v>
          </cell>
          <cell r="C8" t="str">
            <v>Boral Limited Head Office</v>
          </cell>
          <cell r="D8" t="str">
            <v>50 Bridge Street</v>
          </cell>
          <cell r="E8" t="str">
            <v>Sydney</v>
          </cell>
          <cell r="F8" t="str">
            <v>2000</v>
          </cell>
          <cell r="G8" t="str">
            <v>New South Wales</v>
          </cell>
          <cell r="H8" t="str">
            <v>Australia</v>
          </cell>
          <cell r="I8" t="str">
            <v>Not Applicable</v>
          </cell>
          <cell r="J8">
            <v>0</v>
          </cell>
          <cell r="K8">
            <v>0</v>
          </cell>
          <cell r="L8">
            <v>25000000</v>
          </cell>
          <cell r="M8">
            <v>0</v>
          </cell>
          <cell r="N8">
            <v>0</v>
          </cell>
          <cell r="O8">
            <v>25000000</v>
          </cell>
        </row>
        <row r="9">
          <cell r="A9" t="str">
            <v>030</v>
          </cell>
          <cell r="B9" t="str">
            <v>MASONRY ADMIN</v>
          </cell>
          <cell r="C9" t="str">
            <v>Masonry Admin</v>
          </cell>
          <cell r="D9" t="str">
            <v>Prospect Road</v>
          </cell>
          <cell r="E9" t="str">
            <v>Prospect</v>
          </cell>
          <cell r="F9" t="str">
            <v>2156</v>
          </cell>
          <cell r="G9" t="str">
            <v>New South Wales</v>
          </cell>
          <cell r="H9" t="str">
            <v>Australia</v>
          </cell>
          <cell r="I9" t="str">
            <v>Not Applicable</v>
          </cell>
          <cell r="J9">
            <v>0</v>
          </cell>
          <cell r="K9">
            <v>0</v>
          </cell>
          <cell r="L9">
            <v>180000</v>
          </cell>
          <cell r="M9">
            <v>0</v>
          </cell>
          <cell r="N9">
            <v>0</v>
          </cell>
          <cell r="O9">
            <v>180000</v>
          </cell>
        </row>
        <row r="10">
          <cell r="A10" t="str">
            <v>031</v>
          </cell>
          <cell r="B10" t="str">
            <v>MASONRY-NSW</v>
          </cell>
          <cell r="C10" t="str">
            <v>Boral Besser Masonry Limited - Act</v>
          </cell>
          <cell r="D10" t="str">
            <v>Lot 2 Kaverneys Road Off Barton H'wy</v>
          </cell>
          <cell r="E10" t="str">
            <v>Hall</v>
          </cell>
          <cell r="F10" t="str">
            <v>2618</v>
          </cell>
          <cell r="G10" t="str">
            <v>Australian Capital Territory</v>
          </cell>
          <cell r="H10" t="str">
            <v>Australia</v>
          </cell>
          <cell r="I10" t="str">
            <v>Not Applicable</v>
          </cell>
          <cell r="J10">
            <v>250000</v>
          </cell>
          <cell r="K10">
            <v>600000</v>
          </cell>
          <cell r="L10">
            <v>4400000</v>
          </cell>
          <cell r="M10">
            <v>90000</v>
          </cell>
          <cell r="N10">
            <v>1800000</v>
          </cell>
          <cell r="O10">
            <v>7140000</v>
          </cell>
        </row>
        <row r="11">
          <cell r="A11" t="str">
            <v>031</v>
          </cell>
          <cell r="B11" t="str">
            <v>MASONRY-NSW</v>
          </cell>
          <cell r="C11" t="str">
            <v>Boral Besser Masonry Limited - Kurnell</v>
          </cell>
          <cell r="D11" t="str">
            <v>Sir Joseph Banks Drive</v>
          </cell>
          <cell r="E11" t="str">
            <v>Kurnell</v>
          </cell>
          <cell r="F11" t="str">
            <v>2231</v>
          </cell>
          <cell r="G11" t="str">
            <v>New South Wales</v>
          </cell>
          <cell r="H11" t="str">
            <v>Australia</v>
          </cell>
          <cell r="I11" t="str">
            <v>Not Applicable</v>
          </cell>
          <cell r="J11">
            <v>700000</v>
          </cell>
          <cell r="K11">
            <v>500000</v>
          </cell>
          <cell r="L11">
            <v>7350000</v>
          </cell>
          <cell r="M11">
            <v>150000</v>
          </cell>
          <cell r="N11">
            <v>2500000</v>
          </cell>
          <cell r="O11">
            <v>11200000</v>
          </cell>
        </row>
        <row r="12">
          <cell r="A12" t="str">
            <v>031</v>
          </cell>
          <cell r="B12" t="str">
            <v>MASONRY-NSW</v>
          </cell>
          <cell r="C12" t="str">
            <v>Boral Besser Masonry Limited - Prospect</v>
          </cell>
          <cell r="D12" t="str">
            <v>Clunies Ross Street</v>
          </cell>
          <cell r="E12" t="str">
            <v>Prospect</v>
          </cell>
          <cell r="F12" t="str">
            <v>2148</v>
          </cell>
          <cell r="G12" t="str">
            <v>New South Wales</v>
          </cell>
          <cell r="H12" t="str">
            <v>Australia</v>
          </cell>
          <cell r="I12" t="str">
            <v>Not Applicable</v>
          </cell>
          <cell r="J12">
            <v>2500000</v>
          </cell>
          <cell r="K12">
            <v>3000000</v>
          </cell>
          <cell r="L12">
            <v>21800000</v>
          </cell>
          <cell r="M12">
            <v>200000</v>
          </cell>
          <cell r="N12">
            <v>13000000</v>
          </cell>
          <cell r="O12">
            <v>40500000</v>
          </cell>
        </row>
        <row r="13">
          <cell r="A13" t="str">
            <v>031</v>
          </cell>
          <cell r="B13" t="str">
            <v>MASONRY-NSW</v>
          </cell>
          <cell r="C13" t="str">
            <v>Boral Besser Masonry Limited - Somersby</v>
          </cell>
          <cell r="D13" t="str">
            <v>Wisemans Ferry Road</v>
          </cell>
          <cell r="E13" t="str">
            <v>Somersby</v>
          </cell>
          <cell r="F13" t="str">
            <v>2250</v>
          </cell>
          <cell r="G13" t="str">
            <v>New South Wales</v>
          </cell>
          <cell r="H13" t="str">
            <v>Australia</v>
          </cell>
          <cell r="I13" t="str">
            <v>Not Applicable</v>
          </cell>
          <cell r="J13">
            <v>500000</v>
          </cell>
          <cell r="K13">
            <v>575000</v>
          </cell>
          <cell r="L13">
            <v>7400000</v>
          </cell>
          <cell r="M13">
            <v>70000</v>
          </cell>
          <cell r="N13">
            <v>2500000</v>
          </cell>
          <cell r="O13">
            <v>11045000</v>
          </cell>
        </row>
        <row r="14">
          <cell r="A14" t="str">
            <v>031</v>
          </cell>
          <cell r="B14" t="str">
            <v>MASONRY-NSW</v>
          </cell>
          <cell r="C14" t="str">
            <v>Prospect 2 - Masonry</v>
          </cell>
          <cell r="D14" t="str">
            <v>Clunies Ross Street</v>
          </cell>
          <cell r="E14" t="str">
            <v>Prospect</v>
          </cell>
          <cell r="F14" t="str">
            <v>2148</v>
          </cell>
          <cell r="G14" t="str">
            <v>New South Wales</v>
          </cell>
          <cell r="H14" t="str">
            <v>Australia</v>
          </cell>
          <cell r="I14" t="str">
            <v>Not Applicable</v>
          </cell>
          <cell r="J14">
            <v>1600000</v>
          </cell>
          <cell r="K14">
            <v>0</v>
          </cell>
          <cell r="L14">
            <v>12000000</v>
          </cell>
          <cell r="M14">
            <v>50000</v>
          </cell>
          <cell r="N14">
            <v>5000000</v>
          </cell>
          <cell r="O14">
            <v>18650000</v>
          </cell>
        </row>
        <row r="15">
          <cell r="A15" t="str">
            <v>032</v>
          </cell>
          <cell r="B15" t="str">
            <v>MASONRY-VIC</v>
          </cell>
          <cell r="C15" t="str">
            <v>Boral Masonry Vic</v>
          </cell>
          <cell r="D15" t="str">
            <v>Riding Boundary Road</v>
          </cell>
          <cell r="E15" t="str">
            <v>Deer Park</v>
          </cell>
          <cell r="F15" t="str">
            <v>3023</v>
          </cell>
          <cell r="G15" t="str">
            <v>Victoria</v>
          </cell>
          <cell r="H15" t="str">
            <v>Australia</v>
          </cell>
          <cell r="I15" t="str">
            <v>Not Applicable</v>
          </cell>
          <cell r="J15">
            <v>1487000</v>
          </cell>
          <cell r="K15">
            <v>0</v>
          </cell>
          <cell r="L15">
            <v>13500000</v>
          </cell>
          <cell r="M15">
            <v>220000</v>
          </cell>
          <cell r="N15">
            <v>3600000</v>
          </cell>
          <cell r="O15">
            <v>18807000</v>
          </cell>
        </row>
        <row r="16">
          <cell r="A16" t="str">
            <v>033</v>
          </cell>
          <cell r="B16" t="str">
            <v>MASONRY-SA</v>
          </cell>
          <cell r="C16" t="str">
            <v>Boral Hollostone Masonry</v>
          </cell>
          <cell r="D16" t="str">
            <v>Main North Rd</v>
          </cell>
          <cell r="E16" t="str">
            <v>Pooraka</v>
          </cell>
          <cell r="F16" t="str">
            <v>5095</v>
          </cell>
          <cell r="G16" t="str">
            <v>South Australia</v>
          </cell>
          <cell r="H16" t="str">
            <v>Australia</v>
          </cell>
          <cell r="I16" t="str">
            <v>Not Applicable</v>
          </cell>
          <cell r="J16">
            <v>2250000</v>
          </cell>
          <cell r="K16">
            <v>1500000</v>
          </cell>
          <cell r="L16">
            <v>5000000</v>
          </cell>
          <cell r="M16">
            <v>50000</v>
          </cell>
          <cell r="N16">
            <v>7500000</v>
          </cell>
          <cell r="O16">
            <v>16300000</v>
          </cell>
        </row>
        <row r="17">
          <cell r="A17" t="str">
            <v>034</v>
          </cell>
          <cell r="B17" t="str">
            <v>MASONRY NORTH QLD</v>
          </cell>
          <cell r="C17" t="str">
            <v>Boral Masonry - Mackay</v>
          </cell>
          <cell r="D17" t="str">
            <v>David Muir Street</v>
          </cell>
          <cell r="E17" t="str">
            <v>Mackay</v>
          </cell>
          <cell r="F17" t="str">
            <v>4740</v>
          </cell>
          <cell r="G17" t="str">
            <v>Queensland</v>
          </cell>
          <cell r="H17" t="str">
            <v>Australia</v>
          </cell>
          <cell r="I17" t="str">
            <v>Not Applicable</v>
          </cell>
          <cell r="J17">
            <v>170000</v>
          </cell>
          <cell r="K17">
            <v>350000</v>
          </cell>
          <cell r="L17">
            <v>3400000</v>
          </cell>
          <cell r="M17">
            <v>100000</v>
          </cell>
          <cell r="N17">
            <v>637000</v>
          </cell>
          <cell r="O17">
            <v>4657000</v>
          </cell>
        </row>
        <row r="18">
          <cell r="A18" t="str">
            <v>034</v>
          </cell>
          <cell r="B18" t="str">
            <v>MASONRY NORTH QLD</v>
          </cell>
          <cell r="C18" t="str">
            <v>Boral Masonry - Townsville</v>
          </cell>
          <cell r="D18" t="str">
            <v>362 Bayswater Road</v>
          </cell>
          <cell r="E18" t="str">
            <v>Townsville</v>
          </cell>
          <cell r="F18" t="str">
            <v>4810</v>
          </cell>
          <cell r="G18" t="str">
            <v>Queensland</v>
          </cell>
          <cell r="H18" t="str">
            <v>Australia</v>
          </cell>
          <cell r="I18" t="str">
            <v>Not Applicable</v>
          </cell>
          <cell r="J18">
            <v>80000</v>
          </cell>
          <cell r="K18">
            <v>0</v>
          </cell>
          <cell r="L18">
            <v>10000</v>
          </cell>
          <cell r="M18">
            <v>30000</v>
          </cell>
          <cell r="N18">
            <v>0</v>
          </cell>
          <cell r="O18">
            <v>120000</v>
          </cell>
        </row>
        <row r="19">
          <cell r="A19" t="str">
            <v>034</v>
          </cell>
          <cell r="B19" t="str">
            <v>MASONRY NORTH QLD</v>
          </cell>
          <cell r="C19" t="str">
            <v>Boral Masonry North Qld</v>
          </cell>
          <cell r="D19" t="str">
            <v>8 Palmer Street</v>
          </cell>
          <cell r="E19" t="str">
            <v>Cairns</v>
          </cell>
          <cell r="F19" t="str">
            <v>4870</v>
          </cell>
          <cell r="G19" t="str">
            <v>Queensland</v>
          </cell>
          <cell r="H19" t="str">
            <v>Australia</v>
          </cell>
          <cell r="I19" t="str">
            <v>Not Applicable</v>
          </cell>
          <cell r="J19">
            <v>500000</v>
          </cell>
          <cell r="K19">
            <v>800000</v>
          </cell>
          <cell r="L19">
            <v>8000000</v>
          </cell>
          <cell r="M19">
            <v>230000</v>
          </cell>
          <cell r="N19">
            <v>142600</v>
          </cell>
          <cell r="O19">
            <v>9672600</v>
          </cell>
        </row>
        <row r="20">
          <cell r="A20" t="str">
            <v>035</v>
          </cell>
          <cell r="B20" t="str">
            <v>MASONRY SOUTH QLD</v>
          </cell>
          <cell r="C20" t="str">
            <v>Boral Bricks - Ashmore</v>
          </cell>
          <cell r="D20" t="str">
            <v>Cnr Ashmore &amp; Nerang Roads</v>
          </cell>
          <cell r="E20" t="str">
            <v>Ashmore</v>
          </cell>
          <cell r="F20" t="str">
            <v>4214</v>
          </cell>
          <cell r="G20" t="str">
            <v>Queensland</v>
          </cell>
          <cell r="H20" t="str">
            <v>Australia</v>
          </cell>
          <cell r="I20" t="str">
            <v>Not Applicable</v>
          </cell>
          <cell r="J20">
            <v>2000</v>
          </cell>
          <cell r="K20">
            <v>0</v>
          </cell>
          <cell r="L20">
            <v>0</v>
          </cell>
          <cell r="M20">
            <v>0</v>
          </cell>
          <cell r="N20">
            <v>0</v>
          </cell>
          <cell r="O20">
            <v>2000</v>
          </cell>
        </row>
        <row r="21">
          <cell r="A21" t="str">
            <v>035</v>
          </cell>
          <cell r="B21" t="str">
            <v>MASONRY SOUTH QLD</v>
          </cell>
          <cell r="C21" t="str">
            <v>Boral Bricks - Lawnton</v>
          </cell>
          <cell r="D21" t="str">
            <v>Lawnton Pocket Rd</v>
          </cell>
          <cell r="E21" t="str">
            <v>Lawnton</v>
          </cell>
          <cell r="F21" t="str">
            <v>4501</v>
          </cell>
          <cell r="G21" t="str">
            <v>Queensland</v>
          </cell>
          <cell r="H21" t="str">
            <v>Australia</v>
          </cell>
          <cell r="I21" t="str">
            <v>Not Applicable</v>
          </cell>
          <cell r="J21">
            <v>1500</v>
          </cell>
          <cell r="K21">
            <v>0</v>
          </cell>
          <cell r="L21">
            <v>0</v>
          </cell>
          <cell r="M21">
            <v>0</v>
          </cell>
          <cell r="N21">
            <v>0</v>
          </cell>
          <cell r="O21">
            <v>1500</v>
          </cell>
        </row>
        <row r="22">
          <cell r="A22" t="str">
            <v>035</v>
          </cell>
          <cell r="B22" t="str">
            <v>MASONRY SOUTH QLD</v>
          </cell>
          <cell r="C22" t="str">
            <v>Boral Masonry - Biggera Waters</v>
          </cell>
          <cell r="D22" t="str">
            <v>663 Pine Ridge Road</v>
          </cell>
          <cell r="E22" t="str">
            <v>Biggera Waters</v>
          </cell>
          <cell r="F22" t="str">
            <v>4216</v>
          </cell>
          <cell r="G22" t="str">
            <v>Queensland</v>
          </cell>
          <cell r="H22" t="str">
            <v>Australia</v>
          </cell>
          <cell r="I22" t="str">
            <v>Not Applicable</v>
          </cell>
          <cell r="J22">
            <v>550000</v>
          </cell>
          <cell r="K22">
            <v>450000</v>
          </cell>
          <cell r="L22">
            <v>5000000</v>
          </cell>
          <cell r="M22">
            <v>220000</v>
          </cell>
          <cell r="N22">
            <v>2365000</v>
          </cell>
          <cell r="O22">
            <v>8585000</v>
          </cell>
        </row>
        <row r="23">
          <cell r="A23" t="str">
            <v>035</v>
          </cell>
          <cell r="B23" t="str">
            <v>MASONRY SOUTH QLD</v>
          </cell>
          <cell r="C23" t="str">
            <v>Boral Masonry - Byron Bay</v>
          </cell>
          <cell r="D23" t="str">
            <v>Lot 1 Bayshore Drive</v>
          </cell>
          <cell r="E23" t="str">
            <v>Byron Bay</v>
          </cell>
          <cell r="F23" t="str">
            <v>2481</v>
          </cell>
          <cell r="G23" t="str">
            <v>New South Wales</v>
          </cell>
          <cell r="H23" t="str">
            <v>Australia</v>
          </cell>
          <cell r="I23" t="str">
            <v>Not Applicable</v>
          </cell>
          <cell r="J23">
            <v>320000</v>
          </cell>
          <cell r="K23">
            <v>350000</v>
          </cell>
          <cell r="L23">
            <v>3400000</v>
          </cell>
          <cell r="M23">
            <v>120000</v>
          </cell>
          <cell r="N23">
            <v>1396000</v>
          </cell>
          <cell r="O23">
            <v>5586000</v>
          </cell>
        </row>
        <row r="24">
          <cell r="A24" t="str">
            <v>035</v>
          </cell>
          <cell r="B24" t="str">
            <v>MASONRY SOUTH QLD</v>
          </cell>
          <cell r="C24" t="str">
            <v>Boral Masonry - Kunda Park</v>
          </cell>
          <cell r="D24" t="str">
            <v>Maroochydore Road</v>
          </cell>
          <cell r="E24" t="str">
            <v>Kunda Park</v>
          </cell>
          <cell r="F24" t="str">
            <v>4556</v>
          </cell>
          <cell r="G24" t="str">
            <v>Queensland</v>
          </cell>
          <cell r="H24" t="str">
            <v>Australia</v>
          </cell>
          <cell r="I24" t="str">
            <v>Not Applicable</v>
          </cell>
          <cell r="J24">
            <v>3000</v>
          </cell>
          <cell r="K24">
            <v>0</v>
          </cell>
          <cell r="L24">
            <v>0</v>
          </cell>
          <cell r="M24">
            <v>0</v>
          </cell>
          <cell r="N24">
            <v>0</v>
          </cell>
          <cell r="O24">
            <v>3000</v>
          </cell>
        </row>
        <row r="25">
          <cell r="A25" t="str">
            <v>035</v>
          </cell>
          <cell r="B25" t="str">
            <v>MASONRY SOUTH QLD</v>
          </cell>
          <cell r="C25" t="str">
            <v>Boral Masonry - Wacol(59)</v>
          </cell>
          <cell r="D25" t="str">
            <v>59 Industrial Avenue</v>
          </cell>
          <cell r="E25" t="str">
            <v>Wacol</v>
          </cell>
          <cell r="F25" t="str">
            <v>4076</v>
          </cell>
          <cell r="G25" t="str">
            <v>Queensland</v>
          </cell>
          <cell r="H25" t="str">
            <v>Australia</v>
          </cell>
          <cell r="I25" t="str">
            <v>Not Applicable</v>
          </cell>
          <cell r="J25">
            <v>20000</v>
          </cell>
          <cell r="K25">
            <v>250000</v>
          </cell>
          <cell r="L25">
            <v>10000</v>
          </cell>
          <cell r="M25">
            <v>0</v>
          </cell>
          <cell r="N25">
            <v>0</v>
          </cell>
          <cell r="O25">
            <v>280000</v>
          </cell>
        </row>
        <row r="26">
          <cell r="A26" t="str">
            <v>035</v>
          </cell>
          <cell r="B26" t="str">
            <v>MASONRY SOUTH QLD</v>
          </cell>
          <cell r="C26" t="str">
            <v>Boral Masonry - Wacol(62)</v>
          </cell>
          <cell r="D26" t="str">
            <v>62 Industrial Avenue</v>
          </cell>
          <cell r="E26" t="str">
            <v>Wacol</v>
          </cell>
          <cell r="F26" t="str">
            <v>4076</v>
          </cell>
          <cell r="G26" t="str">
            <v>Queensland</v>
          </cell>
          <cell r="H26" t="str">
            <v>Australia</v>
          </cell>
          <cell r="I26" t="str">
            <v>Not Applicable</v>
          </cell>
          <cell r="J26">
            <v>2200000</v>
          </cell>
          <cell r="K26">
            <v>3968000</v>
          </cell>
          <cell r="L26">
            <v>12001000</v>
          </cell>
          <cell r="M26">
            <v>120000</v>
          </cell>
          <cell r="N26">
            <v>9824000</v>
          </cell>
          <cell r="O26">
            <v>28113000</v>
          </cell>
        </row>
        <row r="27">
          <cell r="A27" t="str">
            <v>051</v>
          </cell>
          <cell r="B27" t="str">
            <v>TIMBER - HARDWOOD - ALLEN TAYLOR</v>
          </cell>
          <cell r="C27" t="str">
            <v>Adelaide Warehouse - Allen Taylor SA</v>
          </cell>
          <cell r="D27" t="str">
            <v>Building E 853,  Port Road</v>
          </cell>
          <cell r="E27" t="str">
            <v>Woodfield</v>
          </cell>
          <cell r="F27" t="str">
            <v>5011</v>
          </cell>
          <cell r="G27" t="str">
            <v>South Australia</v>
          </cell>
          <cell r="H27" t="str">
            <v>Australia</v>
          </cell>
          <cell r="I27" t="str">
            <v>Not Applicable</v>
          </cell>
          <cell r="J27">
            <v>1250000</v>
          </cell>
          <cell r="K27">
            <v>0</v>
          </cell>
          <cell r="L27">
            <v>31000</v>
          </cell>
          <cell r="M27">
            <v>0</v>
          </cell>
          <cell r="N27">
            <v>205000</v>
          </cell>
          <cell r="O27">
            <v>1486000</v>
          </cell>
        </row>
        <row r="28">
          <cell r="A28" t="str">
            <v>051</v>
          </cell>
          <cell r="B28" t="str">
            <v>TIMBER - HARDWOOD - ALLEN TAYLOR</v>
          </cell>
          <cell r="C28" t="str">
            <v>Adelaide Warehouse - Allen Taylor Vic</v>
          </cell>
          <cell r="D28" t="str">
            <v>Railway Terrace</v>
          </cell>
          <cell r="E28" t="str">
            <v>Mile End East</v>
          </cell>
          <cell r="F28" t="str">
            <v>5031</v>
          </cell>
          <cell r="G28" t="str">
            <v>South Australia</v>
          </cell>
          <cell r="H28" t="str">
            <v>Australia</v>
          </cell>
          <cell r="I28" t="str">
            <v>Not Applicable</v>
          </cell>
          <cell r="J28">
            <v>0</v>
          </cell>
          <cell r="K28">
            <v>0</v>
          </cell>
          <cell r="L28">
            <v>0</v>
          </cell>
          <cell r="M28">
            <v>0</v>
          </cell>
          <cell r="N28">
            <v>0</v>
          </cell>
          <cell r="O28">
            <v>0</v>
          </cell>
        </row>
        <row r="29">
          <cell r="A29" t="str">
            <v>051</v>
          </cell>
          <cell r="B29" t="str">
            <v>TIMBER - HARDWOOD - ALLEN TAYLOR</v>
          </cell>
          <cell r="C29" t="str">
            <v>Adminstration - Allen Taylor</v>
          </cell>
          <cell r="D29" t="str">
            <v>89 St Hilliers Road</v>
          </cell>
          <cell r="E29" t="str">
            <v>Auburn</v>
          </cell>
          <cell r="F29" t="str">
            <v>2144</v>
          </cell>
          <cell r="G29" t="str">
            <v>New South Wales</v>
          </cell>
          <cell r="H29" t="str">
            <v>Australia</v>
          </cell>
          <cell r="I29" t="str">
            <v>Not Applicable</v>
          </cell>
          <cell r="J29">
            <v>0</v>
          </cell>
          <cell r="K29">
            <v>0</v>
          </cell>
          <cell r="L29">
            <v>325000</v>
          </cell>
          <cell r="M29">
            <v>0</v>
          </cell>
          <cell r="N29">
            <v>50000</v>
          </cell>
          <cell r="O29">
            <v>375000</v>
          </cell>
        </row>
        <row r="30">
          <cell r="A30" t="str">
            <v>051</v>
          </cell>
          <cell r="B30" t="str">
            <v>TIMBER - HARDWOOD - ALLEN TAYLOR</v>
          </cell>
          <cell r="C30" t="str">
            <v>Allen Taylor - Qld Adminstration</v>
          </cell>
          <cell r="D30" t="str">
            <v>Bruce Highway</v>
          </cell>
          <cell r="E30" t="str">
            <v>Cooroy</v>
          </cell>
          <cell r="F30" t="str">
            <v>4563</v>
          </cell>
          <cell r="G30" t="str">
            <v>Queensland</v>
          </cell>
          <cell r="H30" t="str">
            <v>Australia</v>
          </cell>
          <cell r="I30" t="str">
            <v>Not Applicable</v>
          </cell>
          <cell r="J30">
            <v>0</v>
          </cell>
          <cell r="K30">
            <v>0</v>
          </cell>
          <cell r="L30">
            <v>883000</v>
          </cell>
          <cell r="M30">
            <v>0</v>
          </cell>
          <cell r="N30">
            <v>50000</v>
          </cell>
          <cell r="O30">
            <v>933000</v>
          </cell>
        </row>
        <row r="31">
          <cell r="A31" t="str">
            <v>051</v>
          </cell>
          <cell r="B31" t="str">
            <v>TIMBER - HARDWOOD - ALLEN TAYLOR</v>
          </cell>
          <cell r="C31" t="str">
            <v>Allen Taylor &amp; Co. - Vic</v>
          </cell>
          <cell r="D31" t="str">
            <v>167 Westall Road</v>
          </cell>
          <cell r="E31" t="str">
            <v>Clayton</v>
          </cell>
          <cell r="F31" t="str">
            <v>3169</v>
          </cell>
          <cell r="G31" t="str">
            <v>Victoria</v>
          </cell>
          <cell r="H31" t="str">
            <v>Australia</v>
          </cell>
          <cell r="I31" t="str">
            <v>Not Applicable</v>
          </cell>
          <cell r="J31">
            <v>0</v>
          </cell>
          <cell r="K31">
            <v>0</v>
          </cell>
          <cell r="L31">
            <v>0</v>
          </cell>
          <cell r="M31">
            <v>0</v>
          </cell>
          <cell r="N31">
            <v>0</v>
          </cell>
          <cell r="O31">
            <v>0</v>
          </cell>
        </row>
        <row r="32">
          <cell r="A32" t="str">
            <v>051</v>
          </cell>
          <cell r="B32" t="str">
            <v>TIMBER - HARDWOOD - ALLEN TAYLOR</v>
          </cell>
          <cell r="C32" t="str">
            <v>Auburn Warehouse - Allen Taylor</v>
          </cell>
          <cell r="D32" t="str">
            <v>St Hilliers Rd</v>
          </cell>
          <cell r="E32" t="str">
            <v>Auburn</v>
          </cell>
          <cell r="F32" t="str">
            <v>2144</v>
          </cell>
          <cell r="G32" t="str">
            <v>New South Wales</v>
          </cell>
          <cell r="H32" t="str">
            <v>Australia</v>
          </cell>
          <cell r="I32" t="str">
            <v>Not Applicable</v>
          </cell>
          <cell r="J32">
            <v>430000</v>
          </cell>
          <cell r="K32">
            <v>0</v>
          </cell>
          <cell r="L32">
            <v>21000</v>
          </cell>
          <cell r="M32">
            <v>48000</v>
          </cell>
          <cell r="N32">
            <v>17000</v>
          </cell>
          <cell r="O32">
            <v>516000</v>
          </cell>
        </row>
        <row r="33">
          <cell r="A33" t="str">
            <v>051</v>
          </cell>
          <cell r="B33" t="str">
            <v>TIMBER - HARDWOOD - ALLEN TAYLOR</v>
          </cell>
          <cell r="C33" t="str">
            <v>Bostobrick Mill</v>
          </cell>
          <cell r="D33" t="str">
            <v>Muldiva Raod</v>
          </cell>
          <cell r="E33" t="str">
            <v>Bostobrick</v>
          </cell>
          <cell r="F33" t="str">
            <v>2453</v>
          </cell>
          <cell r="G33" t="str">
            <v>New South Wales</v>
          </cell>
          <cell r="H33" t="str">
            <v>Australia</v>
          </cell>
          <cell r="I33" t="str">
            <v>Not Applicable</v>
          </cell>
          <cell r="J33">
            <v>400000</v>
          </cell>
          <cell r="K33">
            <v>950000</v>
          </cell>
          <cell r="L33">
            <v>3600000</v>
          </cell>
          <cell r="M33">
            <v>400000</v>
          </cell>
          <cell r="N33">
            <v>165000</v>
          </cell>
          <cell r="O33">
            <v>5515000</v>
          </cell>
        </row>
        <row r="34">
          <cell r="A34" t="str">
            <v>051</v>
          </cell>
          <cell r="B34" t="str">
            <v>TIMBER - HARDWOOD - ALLEN TAYLOR</v>
          </cell>
          <cell r="C34" t="str">
            <v>Brisbane Warehouse</v>
          </cell>
          <cell r="D34" t="str">
            <v>12 Ivedon Street</v>
          </cell>
          <cell r="E34" t="str">
            <v>Banyo</v>
          </cell>
          <cell r="F34" t="str">
            <v>4014</v>
          </cell>
          <cell r="G34" t="str">
            <v>Queensland</v>
          </cell>
          <cell r="H34" t="str">
            <v>Australia</v>
          </cell>
          <cell r="I34" t="str">
            <v>Not Applicable</v>
          </cell>
          <cell r="J34">
            <v>380000</v>
          </cell>
          <cell r="K34">
            <v>0</v>
          </cell>
          <cell r="L34">
            <v>70000</v>
          </cell>
          <cell r="M34">
            <v>0</v>
          </cell>
          <cell r="N34">
            <v>500000</v>
          </cell>
          <cell r="O34">
            <v>950000</v>
          </cell>
        </row>
        <row r="35">
          <cell r="A35" t="str">
            <v>051</v>
          </cell>
          <cell r="B35" t="str">
            <v>TIMBER - HARDWOOD - ALLEN TAYLOR</v>
          </cell>
          <cell r="C35" t="str">
            <v>Cairns Warehouse - Allen Taylor</v>
          </cell>
          <cell r="D35" t="str">
            <v>Law Street</v>
          </cell>
          <cell r="E35" t="str">
            <v>Cairns</v>
          </cell>
          <cell r="F35" t="str">
            <v>4870</v>
          </cell>
          <cell r="G35" t="str">
            <v>Queensland</v>
          </cell>
          <cell r="H35" t="str">
            <v>Australia</v>
          </cell>
          <cell r="I35" t="str">
            <v>Not Applicable</v>
          </cell>
          <cell r="J35">
            <v>250000</v>
          </cell>
          <cell r="K35">
            <v>0</v>
          </cell>
          <cell r="L35">
            <v>45000</v>
          </cell>
          <cell r="M35">
            <v>86250</v>
          </cell>
          <cell r="N35">
            <v>0</v>
          </cell>
          <cell r="O35">
            <v>381250</v>
          </cell>
        </row>
        <row r="36">
          <cell r="A36" t="str">
            <v>051</v>
          </cell>
          <cell r="B36" t="str">
            <v>TIMBER - HARDWOOD - ALLEN TAYLOR</v>
          </cell>
          <cell r="C36" t="str">
            <v>Export - Allen Taylor NSW</v>
          </cell>
          <cell r="D36" t="str">
            <v>89  St Hilliers Road</v>
          </cell>
          <cell r="E36" t="str">
            <v>Auburn</v>
          </cell>
          <cell r="F36" t="str">
            <v>2144</v>
          </cell>
          <cell r="G36" t="str">
            <v>New South Wales</v>
          </cell>
          <cell r="H36" t="str">
            <v>Australia</v>
          </cell>
          <cell r="I36" t="str">
            <v>Not Applicable</v>
          </cell>
          <cell r="J36">
            <v>130000</v>
          </cell>
          <cell r="K36">
            <v>0</v>
          </cell>
          <cell r="L36">
            <v>0</v>
          </cell>
          <cell r="M36">
            <v>0</v>
          </cell>
          <cell r="N36">
            <v>0</v>
          </cell>
          <cell r="O36">
            <v>130000</v>
          </cell>
        </row>
        <row r="37">
          <cell r="A37" t="str">
            <v>051</v>
          </cell>
          <cell r="B37" t="str">
            <v>TIMBER - HARDWOOD - ALLEN TAYLOR</v>
          </cell>
          <cell r="C37" t="str">
            <v>Fortitude Valley Showroom</v>
          </cell>
          <cell r="D37" t="str">
            <v>26 James Street</v>
          </cell>
          <cell r="E37" t="str">
            <v>Fortitude VAlley</v>
          </cell>
          <cell r="F37" t="str">
            <v>4006</v>
          </cell>
          <cell r="G37" t="str">
            <v>Queensland</v>
          </cell>
          <cell r="H37" t="str">
            <v>Australia</v>
          </cell>
          <cell r="I37" t="str">
            <v>Not Applicable</v>
          </cell>
          <cell r="J37">
            <v>10000</v>
          </cell>
          <cell r="K37">
            <v>0</v>
          </cell>
          <cell r="L37">
            <v>10000</v>
          </cell>
          <cell r="M37">
            <v>0</v>
          </cell>
          <cell r="N37">
            <v>0</v>
          </cell>
          <cell r="O37">
            <v>20000</v>
          </cell>
        </row>
        <row r="38">
          <cell r="A38" t="str">
            <v>051</v>
          </cell>
          <cell r="B38" t="str">
            <v>TIMBER - HARDWOOD - ALLEN TAYLOR</v>
          </cell>
          <cell r="C38" t="str">
            <v>Kempsey Mill - Allen Taylor</v>
          </cell>
          <cell r="D38" t="str">
            <v>East Street</v>
          </cell>
          <cell r="E38" t="str">
            <v>Kempsey</v>
          </cell>
          <cell r="F38" t="str">
            <v>2440</v>
          </cell>
          <cell r="G38" t="str">
            <v>New South Wales</v>
          </cell>
          <cell r="H38" t="str">
            <v>Australia</v>
          </cell>
          <cell r="I38" t="str">
            <v>Not Applicable</v>
          </cell>
          <cell r="J38">
            <v>360000</v>
          </cell>
          <cell r="K38">
            <v>750000</v>
          </cell>
          <cell r="L38">
            <v>3000000</v>
          </cell>
          <cell r="M38">
            <v>592000</v>
          </cell>
          <cell r="N38">
            <v>475000</v>
          </cell>
          <cell r="O38">
            <v>5177000</v>
          </cell>
        </row>
        <row r="39">
          <cell r="A39" t="str">
            <v>051</v>
          </cell>
          <cell r="B39" t="str">
            <v>TIMBER - HARDWOOD - ALLEN TAYLOR</v>
          </cell>
          <cell r="C39" t="str">
            <v>Koolkhan Mill</v>
          </cell>
          <cell r="D39" t="str">
            <v>Casino Road</v>
          </cell>
          <cell r="E39" t="str">
            <v>Koolkhan</v>
          </cell>
          <cell r="F39" t="str">
            <v>2460</v>
          </cell>
          <cell r="G39" t="str">
            <v>New South Wales</v>
          </cell>
          <cell r="H39" t="str">
            <v>Australia</v>
          </cell>
          <cell r="I39" t="str">
            <v>Not Applicable</v>
          </cell>
          <cell r="J39">
            <v>520000</v>
          </cell>
          <cell r="K39">
            <v>3200000</v>
          </cell>
          <cell r="L39">
            <v>12500000</v>
          </cell>
          <cell r="M39">
            <v>670000</v>
          </cell>
          <cell r="N39">
            <v>320000</v>
          </cell>
          <cell r="O39">
            <v>17210000</v>
          </cell>
        </row>
        <row r="40">
          <cell r="A40" t="str">
            <v>051</v>
          </cell>
          <cell r="B40" t="str">
            <v>TIMBER - HARDWOOD - ALLEN TAYLOR</v>
          </cell>
          <cell r="C40" t="str">
            <v>Maxwells Creek</v>
          </cell>
          <cell r="D40" t="str">
            <v>Wallarobba Road</v>
          </cell>
          <cell r="E40" t="str">
            <v>Maxwells Creek via Dungog</v>
          </cell>
          <cell r="F40" t="str">
            <v>2420</v>
          </cell>
          <cell r="G40" t="str">
            <v>New South Wales</v>
          </cell>
          <cell r="H40" t="str">
            <v>Australia</v>
          </cell>
          <cell r="I40" t="str">
            <v>Not Applicable</v>
          </cell>
          <cell r="J40">
            <v>6500000</v>
          </cell>
          <cell r="K40">
            <v>2800000</v>
          </cell>
          <cell r="L40">
            <v>10500000</v>
          </cell>
          <cell r="M40">
            <v>1005000</v>
          </cell>
          <cell r="N40">
            <v>1620000</v>
          </cell>
          <cell r="O40">
            <v>22425000</v>
          </cell>
        </row>
        <row r="41">
          <cell r="A41" t="str">
            <v>051</v>
          </cell>
          <cell r="B41" t="str">
            <v>TIMBER - HARDWOOD - ALLEN TAYLOR</v>
          </cell>
          <cell r="C41" t="str">
            <v>Philadelphia Warehouse - Allen Taylor</v>
          </cell>
          <cell r="D41" t="str">
            <v>4562 Worth Street</v>
          </cell>
          <cell r="G41" t="str">
            <v>Philadelphia.</v>
          </cell>
          <cell r="H41" t="str">
            <v>United States of America</v>
          </cell>
          <cell r="I41" t="str">
            <v>USE4</v>
          </cell>
          <cell r="J41">
            <v>925925.9</v>
          </cell>
          <cell r="K41">
            <v>0</v>
          </cell>
          <cell r="L41">
            <v>0</v>
          </cell>
          <cell r="M41">
            <v>0</v>
          </cell>
          <cell r="N41">
            <v>0</v>
          </cell>
          <cell r="O41">
            <v>925925.9</v>
          </cell>
        </row>
        <row r="43">
          <cell r="A43" t="str">
            <v>051</v>
          </cell>
          <cell r="B43" t="str">
            <v>TIMBER - HARDWOOD - ALLEN TAYLOR</v>
          </cell>
          <cell r="C43" t="str">
            <v>Tea Gardens  -  Woodchip</v>
          </cell>
          <cell r="D43" t="str">
            <v>Pinaimav Road</v>
          </cell>
          <cell r="E43" t="str">
            <v>Tea Gardens</v>
          </cell>
          <cell r="F43" t="str">
            <v>2324</v>
          </cell>
          <cell r="G43" t="str">
            <v>New South Wales</v>
          </cell>
          <cell r="H43" t="str">
            <v>Australia</v>
          </cell>
          <cell r="I43" t="str">
            <v>Not Applicable</v>
          </cell>
          <cell r="J43">
            <v>220000</v>
          </cell>
          <cell r="K43">
            <v>160000</v>
          </cell>
          <cell r="L43">
            <v>1570000</v>
          </cell>
          <cell r="M43">
            <v>750000</v>
          </cell>
          <cell r="N43">
            <v>205000</v>
          </cell>
          <cell r="O43">
            <v>2905000</v>
          </cell>
        </row>
        <row r="44">
          <cell r="A44" t="str">
            <v>053</v>
          </cell>
          <cell r="B44" t="str">
            <v>TIMBER - SOFTWOOD - TIMBER INDUSTRIES</v>
          </cell>
          <cell r="C44" t="str">
            <v>Timber Industries Ltd - Bathurst</v>
          </cell>
          <cell r="D44" t="str">
            <v>369 Stewart Street</v>
          </cell>
          <cell r="E44" t="str">
            <v>Bathurst</v>
          </cell>
          <cell r="F44" t="str">
            <v>2795</v>
          </cell>
          <cell r="G44" t="str">
            <v>New South Wales</v>
          </cell>
          <cell r="H44" t="str">
            <v>Australia</v>
          </cell>
          <cell r="I44" t="str">
            <v>Not Applicable</v>
          </cell>
          <cell r="J44">
            <v>0</v>
          </cell>
          <cell r="K44">
            <v>0</v>
          </cell>
          <cell r="L44">
            <v>100000</v>
          </cell>
          <cell r="M44">
            <v>0</v>
          </cell>
          <cell r="N44">
            <v>0</v>
          </cell>
          <cell r="O44">
            <v>100000</v>
          </cell>
        </row>
        <row r="45">
          <cell r="A45" t="str">
            <v>056</v>
          </cell>
          <cell r="B45" t="str">
            <v>TIMBER - WOODCHIP - SEPL</v>
          </cell>
          <cell r="C45" t="str">
            <v>Sawmillers Exports</v>
          </cell>
          <cell r="D45" t="str">
            <v>Heron Road</v>
          </cell>
          <cell r="E45" t="str">
            <v>Kooragang Island</v>
          </cell>
          <cell r="F45" t="str">
            <v>2304</v>
          </cell>
          <cell r="G45" t="str">
            <v>New South Wales</v>
          </cell>
          <cell r="H45" t="str">
            <v>Australia</v>
          </cell>
          <cell r="I45" t="str">
            <v>Not Applicable</v>
          </cell>
          <cell r="J45">
            <v>2000000</v>
          </cell>
          <cell r="K45">
            <v>350000</v>
          </cell>
          <cell r="L45">
            <v>5890000</v>
          </cell>
          <cell r="M45">
            <v>1260000</v>
          </cell>
          <cell r="N45">
            <v>2000000</v>
          </cell>
          <cell r="O45">
            <v>11500000</v>
          </cell>
        </row>
        <row r="46">
          <cell r="A46" t="str">
            <v>057</v>
          </cell>
          <cell r="B46" t="str">
            <v>TIMBER - PLYWOOD - HANCOCK</v>
          </cell>
          <cell r="C46" t="str">
            <v>Boral Hancock - Ipswich</v>
          </cell>
          <cell r="D46" t="str">
            <v>1 Lamington Parade</v>
          </cell>
          <cell r="E46" t="str">
            <v>Ipswich</v>
          </cell>
          <cell r="F46" t="str">
            <v>4305</v>
          </cell>
          <cell r="G46" t="str">
            <v>Queensland</v>
          </cell>
          <cell r="H46" t="str">
            <v>Australia</v>
          </cell>
          <cell r="I46" t="str">
            <v>Not Applicable</v>
          </cell>
          <cell r="J46">
            <v>4000000</v>
          </cell>
          <cell r="K46">
            <v>5000000</v>
          </cell>
          <cell r="L46">
            <v>15000000</v>
          </cell>
          <cell r="M46">
            <v>360000</v>
          </cell>
          <cell r="N46">
            <v>15265000</v>
          </cell>
          <cell r="O46">
            <v>39625000</v>
          </cell>
        </row>
        <row r="47">
          <cell r="A47" t="str">
            <v>058</v>
          </cell>
          <cell r="B47" t="str">
            <v>DUNCAN'S HOLDINGS LTD</v>
          </cell>
          <cell r="C47" t="str">
            <v>Auburn Parquetry</v>
          </cell>
          <cell r="D47" t="str">
            <v>89 St Hilliers Road</v>
          </cell>
          <cell r="E47" t="str">
            <v>Auburn</v>
          </cell>
          <cell r="F47" t="str">
            <v>2141</v>
          </cell>
          <cell r="G47" t="str">
            <v>New South Wales</v>
          </cell>
          <cell r="H47" t="str">
            <v>Australia</v>
          </cell>
          <cell r="I47" t="str">
            <v>Not Applicable</v>
          </cell>
          <cell r="J47">
            <v>230000</v>
          </cell>
          <cell r="K47">
            <v>50000</v>
          </cell>
          <cell r="L47">
            <v>5000</v>
          </cell>
          <cell r="M47">
            <v>16000</v>
          </cell>
          <cell r="N47">
            <v>83000</v>
          </cell>
          <cell r="O47">
            <v>384000</v>
          </cell>
        </row>
        <row r="48">
          <cell r="A48" t="str">
            <v>058</v>
          </cell>
          <cell r="B48" t="str">
            <v>DUNCAN'S HOLDINGS LTD</v>
          </cell>
          <cell r="C48" t="str">
            <v>Brisbane Parquetry</v>
          </cell>
          <cell r="D48" t="str">
            <v>4 Ivedon Street</v>
          </cell>
          <cell r="E48" t="str">
            <v>Banyo</v>
          </cell>
          <cell r="F48" t="str">
            <v>4013</v>
          </cell>
          <cell r="G48" t="str">
            <v>Queensland</v>
          </cell>
          <cell r="H48" t="str">
            <v>Australia</v>
          </cell>
          <cell r="I48" t="str">
            <v>Not Applicable</v>
          </cell>
          <cell r="J48">
            <v>380000</v>
          </cell>
          <cell r="K48">
            <v>0</v>
          </cell>
          <cell r="L48">
            <v>1000</v>
          </cell>
          <cell r="M48">
            <v>0</v>
          </cell>
          <cell r="N48">
            <v>106000</v>
          </cell>
          <cell r="O48">
            <v>487000</v>
          </cell>
        </row>
        <row r="49">
          <cell r="A49" t="str">
            <v>058</v>
          </cell>
          <cell r="B49" t="str">
            <v>DUNCAN'S HOLDINGS LTD</v>
          </cell>
          <cell r="C49" t="str">
            <v>Grafton Mill - Duncans Holdings NSW</v>
          </cell>
          <cell r="D49" t="str">
            <v>60 Swallow Road</v>
          </cell>
          <cell r="E49" t="str">
            <v>South Grafton</v>
          </cell>
          <cell r="F49" t="str">
            <v>2461</v>
          </cell>
          <cell r="G49" t="str">
            <v>New South Wales</v>
          </cell>
          <cell r="H49" t="str">
            <v>Australia</v>
          </cell>
          <cell r="I49" t="str">
            <v>Not Applicable</v>
          </cell>
          <cell r="J49">
            <v>0</v>
          </cell>
          <cell r="K49">
            <v>850000</v>
          </cell>
          <cell r="L49">
            <v>3800000</v>
          </cell>
          <cell r="M49">
            <v>800000</v>
          </cell>
          <cell r="N49">
            <v>0</v>
          </cell>
          <cell r="O49">
            <v>5450000</v>
          </cell>
        </row>
        <row r="50">
          <cell r="A50" t="str">
            <v>058</v>
          </cell>
          <cell r="B50" t="str">
            <v>DUNCAN'S HOLDINGS LTD</v>
          </cell>
          <cell r="C50" t="str">
            <v>Grafton Parquetry</v>
          </cell>
          <cell r="D50" t="str">
            <v>70 Swallows Road</v>
          </cell>
          <cell r="E50" t="str">
            <v>Sth Grafton</v>
          </cell>
          <cell r="F50" t="str">
            <v>2460</v>
          </cell>
          <cell r="G50" t="str">
            <v>New South Wales</v>
          </cell>
          <cell r="H50" t="str">
            <v>Australia</v>
          </cell>
          <cell r="I50" t="str">
            <v>Not Applicable</v>
          </cell>
          <cell r="J50">
            <v>1900000</v>
          </cell>
          <cell r="K50">
            <v>950000</v>
          </cell>
          <cell r="L50">
            <v>1800000</v>
          </cell>
          <cell r="M50">
            <v>120000</v>
          </cell>
          <cell r="N50">
            <v>300000</v>
          </cell>
          <cell r="O50">
            <v>5070000</v>
          </cell>
        </row>
        <row r="51">
          <cell r="A51" t="str">
            <v>058</v>
          </cell>
          <cell r="B51" t="str">
            <v>DUNCAN'S HOLDINGS LTD</v>
          </cell>
          <cell r="C51" t="str">
            <v>Heron's Creek Board Plant</v>
          </cell>
          <cell r="D51" t="str">
            <v>Pacific Highway</v>
          </cell>
          <cell r="E51" t="str">
            <v>Heron's Creek</v>
          </cell>
          <cell r="F51" t="str">
            <v>2443</v>
          </cell>
          <cell r="G51" t="str">
            <v>New South Wales</v>
          </cell>
          <cell r="H51" t="str">
            <v>Australia</v>
          </cell>
          <cell r="I51" t="str">
            <v>Not Applicable</v>
          </cell>
          <cell r="J51">
            <v>6800000</v>
          </cell>
          <cell r="K51">
            <v>3500000</v>
          </cell>
          <cell r="L51">
            <v>6200000</v>
          </cell>
          <cell r="M51">
            <v>600000</v>
          </cell>
          <cell r="N51">
            <v>3000000</v>
          </cell>
          <cell r="O51">
            <v>20100000</v>
          </cell>
        </row>
        <row r="52">
          <cell r="A52" t="str">
            <v>058</v>
          </cell>
          <cell r="B52" t="str">
            <v>DUNCAN'S HOLDINGS LTD</v>
          </cell>
          <cell r="C52" t="str">
            <v>Herons Creek Mill</v>
          </cell>
          <cell r="D52" t="str">
            <v>Main Street</v>
          </cell>
          <cell r="E52" t="str">
            <v>Herons creek</v>
          </cell>
          <cell r="F52" t="str">
            <v>2443</v>
          </cell>
          <cell r="G52" t="str">
            <v>New South Wales</v>
          </cell>
          <cell r="H52" t="str">
            <v>Australia</v>
          </cell>
          <cell r="I52" t="str">
            <v>Not Applicable</v>
          </cell>
          <cell r="J52">
            <v>340000</v>
          </cell>
          <cell r="K52">
            <v>1500000</v>
          </cell>
          <cell r="L52">
            <v>5000000</v>
          </cell>
          <cell r="M52">
            <v>800000</v>
          </cell>
          <cell r="N52">
            <v>300000</v>
          </cell>
          <cell r="O52">
            <v>7940000</v>
          </cell>
        </row>
        <row r="53">
          <cell r="A53" t="str">
            <v>058</v>
          </cell>
          <cell r="B53" t="str">
            <v>DUNCAN'S HOLDINGS LTD</v>
          </cell>
          <cell r="C53" t="str">
            <v>Kyogle Board Plant</v>
          </cell>
          <cell r="D53" t="str">
            <v>Summerland Way</v>
          </cell>
          <cell r="E53" t="str">
            <v>Kyogle</v>
          </cell>
          <cell r="F53" t="str">
            <v>2474</v>
          </cell>
          <cell r="G53" t="str">
            <v>New South Wales</v>
          </cell>
          <cell r="H53" t="str">
            <v>Australia</v>
          </cell>
          <cell r="I53" t="str">
            <v>Not Applicable</v>
          </cell>
          <cell r="J53">
            <v>6000000</v>
          </cell>
          <cell r="K53">
            <v>250000</v>
          </cell>
          <cell r="L53">
            <v>8000000</v>
          </cell>
          <cell r="M53">
            <v>830000</v>
          </cell>
          <cell r="N53">
            <v>3000000</v>
          </cell>
          <cell r="O53">
            <v>18080000</v>
          </cell>
        </row>
        <row r="54">
          <cell r="A54" t="str">
            <v>058</v>
          </cell>
          <cell r="B54" t="str">
            <v>DUNCAN'S HOLDINGS LTD</v>
          </cell>
          <cell r="C54" t="str">
            <v>Murwillumbah Board Plant</v>
          </cell>
          <cell r="D54" t="str">
            <v>148 Pacific Highway</v>
          </cell>
          <cell r="E54" t="str">
            <v>Murwillumbah</v>
          </cell>
          <cell r="F54" t="str">
            <v>2484</v>
          </cell>
          <cell r="G54" t="str">
            <v>New South Wales</v>
          </cell>
          <cell r="H54" t="str">
            <v>Australia</v>
          </cell>
          <cell r="I54" t="str">
            <v>Not Applicable</v>
          </cell>
          <cell r="J54">
            <v>8300000</v>
          </cell>
          <cell r="K54">
            <v>3500000</v>
          </cell>
          <cell r="L54">
            <v>8200000</v>
          </cell>
          <cell r="M54">
            <v>615000</v>
          </cell>
          <cell r="N54">
            <v>1800000</v>
          </cell>
          <cell r="O54">
            <v>22415000</v>
          </cell>
        </row>
        <row r="55">
          <cell r="A55" t="str">
            <v>058</v>
          </cell>
          <cell r="B55" t="str">
            <v>DUNCAN'S HOLDINGS LTD</v>
          </cell>
          <cell r="C55" t="str">
            <v>Nammoona Pole Plant</v>
          </cell>
          <cell r="D55" t="str">
            <v>Reynolds Road</v>
          </cell>
          <cell r="E55" t="str">
            <v>Nammoona</v>
          </cell>
          <cell r="F55" t="str">
            <v>2470</v>
          </cell>
          <cell r="G55" t="str">
            <v>New South Wales</v>
          </cell>
          <cell r="H55" t="str">
            <v>Australia</v>
          </cell>
          <cell r="I55" t="str">
            <v>Not Applicable</v>
          </cell>
          <cell r="J55">
            <v>500000</v>
          </cell>
          <cell r="K55">
            <v>520000</v>
          </cell>
          <cell r="L55">
            <v>850000</v>
          </cell>
          <cell r="M55">
            <v>450000</v>
          </cell>
          <cell r="N55">
            <v>150000</v>
          </cell>
          <cell r="O55">
            <v>2470000</v>
          </cell>
        </row>
        <row r="56">
          <cell r="A56" t="str">
            <v>058</v>
          </cell>
          <cell r="B56" t="str">
            <v>DUNCAN'S HOLDINGS LTD</v>
          </cell>
          <cell r="C56" t="str">
            <v>Parquetry - Melbourne</v>
          </cell>
          <cell r="D56" t="str">
            <v>7/167  Westall Road</v>
          </cell>
          <cell r="E56" t="str">
            <v>Clayton</v>
          </cell>
          <cell r="F56" t="str">
            <v>3169</v>
          </cell>
          <cell r="G56" t="str">
            <v>Victoria</v>
          </cell>
          <cell r="H56" t="str">
            <v>Australia</v>
          </cell>
          <cell r="I56" t="str">
            <v>Not Applicable</v>
          </cell>
          <cell r="J56">
            <v>260000</v>
          </cell>
          <cell r="K56">
            <v>0</v>
          </cell>
          <cell r="L56">
            <v>4200</v>
          </cell>
          <cell r="M56">
            <v>21000</v>
          </cell>
          <cell r="N56">
            <v>106000</v>
          </cell>
          <cell r="O56">
            <v>391200</v>
          </cell>
        </row>
        <row r="57">
          <cell r="A57" t="str">
            <v>058</v>
          </cell>
          <cell r="B57" t="str">
            <v>DUNCAN'S HOLDINGS LTD</v>
          </cell>
          <cell r="C57" t="str">
            <v>Strip Flooring</v>
          </cell>
          <cell r="D57" t="str">
            <v>89 St Hilliers Road</v>
          </cell>
          <cell r="E57" t="str">
            <v>Auburn</v>
          </cell>
          <cell r="F57" t="str">
            <v>2141</v>
          </cell>
          <cell r="G57" t="str">
            <v>New South Wales</v>
          </cell>
          <cell r="H57" t="str">
            <v>Australia</v>
          </cell>
          <cell r="I57" t="str">
            <v>Not Applicable</v>
          </cell>
          <cell r="J57">
            <v>0</v>
          </cell>
          <cell r="K57">
            <v>0</v>
          </cell>
          <cell r="L57">
            <v>0</v>
          </cell>
          <cell r="M57">
            <v>0</v>
          </cell>
          <cell r="N57">
            <v>0</v>
          </cell>
          <cell r="O57">
            <v>0</v>
          </cell>
        </row>
        <row r="58">
          <cell r="A58" t="str">
            <v>058</v>
          </cell>
          <cell r="B58" t="str">
            <v>DUNCAN'S HOLDINGS LTD</v>
          </cell>
          <cell r="C58" t="str">
            <v>Wingham Board Plant</v>
          </cell>
          <cell r="D58" t="str">
            <v>Murray Road</v>
          </cell>
          <cell r="E58" t="str">
            <v>Wingham</v>
          </cell>
          <cell r="F58" t="str">
            <v>2429</v>
          </cell>
          <cell r="G58" t="str">
            <v>New South Wales</v>
          </cell>
          <cell r="H58" t="str">
            <v>Australia</v>
          </cell>
          <cell r="I58" t="str">
            <v>Not Applicable</v>
          </cell>
          <cell r="J58">
            <v>0</v>
          </cell>
          <cell r="K58">
            <v>50000</v>
          </cell>
          <cell r="L58">
            <v>0</v>
          </cell>
          <cell r="M58">
            <v>0</v>
          </cell>
          <cell r="N58">
            <v>0</v>
          </cell>
          <cell r="O58">
            <v>50000</v>
          </cell>
        </row>
        <row r="59">
          <cell r="A59" t="str">
            <v>067</v>
          </cell>
          <cell r="B59" t="str">
            <v>OBERON SOFTWOOD HOLDINGS LTD</v>
          </cell>
          <cell r="C59" t="str">
            <v>Oberon Softwood Holdings Pty Ltd</v>
          </cell>
          <cell r="D59" t="str">
            <v>Lowes Mt Road</v>
          </cell>
          <cell r="E59" t="str">
            <v>Oberon</v>
          </cell>
          <cell r="F59" t="str">
            <v>2787</v>
          </cell>
          <cell r="G59" t="str">
            <v>New South Wales</v>
          </cell>
          <cell r="H59" t="str">
            <v>Australia</v>
          </cell>
          <cell r="I59" t="str">
            <v>Not Applicable</v>
          </cell>
          <cell r="J59">
            <v>2000000</v>
          </cell>
          <cell r="K59">
            <v>0</v>
          </cell>
          <cell r="L59">
            <v>0</v>
          </cell>
          <cell r="M59">
            <v>0</v>
          </cell>
          <cell r="N59">
            <v>0</v>
          </cell>
          <cell r="O59">
            <v>2000000</v>
          </cell>
        </row>
        <row r="60">
          <cell r="A60" t="str">
            <v>088</v>
          </cell>
          <cell r="B60" t="str">
            <v>BORAL BRICKS PTY LTD - NSW - TRADING</v>
          </cell>
          <cell r="C60" t="str">
            <v>Badgerys Creek</v>
          </cell>
          <cell r="D60" t="str">
            <v>Martins Road</v>
          </cell>
          <cell r="E60" t="str">
            <v>Badgerys Creek</v>
          </cell>
          <cell r="F60" t="str">
            <v>2171</v>
          </cell>
          <cell r="G60" t="str">
            <v>New South Wales</v>
          </cell>
          <cell r="H60" t="str">
            <v>Australia</v>
          </cell>
          <cell r="I60" t="str">
            <v>Not Applicable</v>
          </cell>
          <cell r="J60">
            <v>4400000</v>
          </cell>
          <cell r="K60">
            <v>10000000</v>
          </cell>
          <cell r="L60">
            <v>50000000</v>
          </cell>
          <cell r="M60">
            <v>900000</v>
          </cell>
          <cell r="N60">
            <v>16000000</v>
          </cell>
          <cell r="O60">
            <v>81300000</v>
          </cell>
        </row>
        <row r="61">
          <cell r="A61" t="str">
            <v>088</v>
          </cell>
          <cell r="B61" t="str">
            <v>BORAL BRICKS PTY LTD - NSW - TRADING</v>
          </cell>
          <cell r="C61" t="str">
            <v>Boral Bricks - ACT</v>
          </cell>
          <cell r="D61" t="str">
            <v>16 Whyalla Street</v>
          </cell>
          <cell r="E61" t="str">
            <v>Fyshwick</v>
          </cell>
          <cell r="F61" t="str">
            <v>2609</v>
          </cell>
          <cell r="G61" t="str">
            <v>Australian Capital Territory</v>
          </cell>
          <cell r="H61" t="str">
            <v>Australia</v>
          </cell>
          <cell r="I61" t="str">
            <v>Not Applicable</v>
          </cell>
          <cell r="J61">
            <v>0</v>
          </cell>
          <cell r="K61">
            <v>100000</v>
          </cell>
          <cell r="L61">
            <v>15000</v>
          </cell>
          <cell r="M61">
            <v>0</v>
          </cell>
          <cell r="N61">
            <v>0</v>
          </cell>
          <cell r="O61">
            <v>115000</v>
          </cell>
        </row>
        <row r="62">
          <cell r="A62" t="str">
            <v>088</v>
          </cell>
          <cell r="B62" t="str">
            <v>BORAL BRICKS PTY LTD - NSW - TRADING</v>
          </cell>
          <cell r="C62" t="str">
            <v>Bringelly</v>
          </cell>
          <cell r="D62" t="str">
            <v>Greendale Road</v>
          </cell>
          <cell r="E62" t="str">
            <v>Bringelly</v>
          </cell>
          <cell r="F62" t="str">
            <v>2171</v>
          </cell>
          <cell r="G62" t="str">
            <v>New South Wales</v>
          </cell>
          <cell r="H62" t="str">
            <v>Australia</v>
          </cell>
          <cell r="I62" t="str">
            <v>Not Applicable</v>
          </cell>
          <cell r="J62">
            <v>6400000</v>
          </cell>
          <cell r="K62">
            <v>10000000</v>
          </cell>
          <cell r="L62">
            <v>50000000</v>
          </cell>
          <cell r="M62">
            <v>900000</v>
          </cell>
          <cell r="N62">
            <v>16500000</v>
          </cell>
          <cell r="O62">
            <v>83800000</v>
          </cell>
        </row>
        <row r="63">
          <cell r="A63" t="str">
            <v>088</v>
          </cell>
          <cell r="B63" t="str">
            <v>BORAL BRICKS PTY LTD - NSW - TRADING</v>
          </cell>
          <cell r="C63" t="str">
            <v>Cardiff - Bricks</v>
          </cell>
          <cell r="D63" t="str">
            <v>21 Pendlebury Road</v>
          </cell>
          <cell r="E63" t="str">
            <v>Cardiff</v>
          </cell>
          <cell r="F63" t="str">
            <v>2285</v>
          </cell>
          <cell r="G63" t="str">
            <v>New South Wales</v>
          </cell>
          <cell r="H63" t="str">
            <v>Australia</v>
          </cell>
          <cell r="I63" t="str">
            <v>Not Applicable</v>
          </cell>
          <cell r="J63">
            <v>0</v>
          </cell>
          <cell r="K63">
            <v>0</v>
          </cell>
          <cell r="L63">
            <v>40000</v>
          </cell>
          <cell r="M63">
            <v>0</v>
          </cell>
          <cell r="N63">
            <v>0</v>
          </cell>
          <cell r="O63">
            <v>40000</v>
          </cell>
        </row>
        <row r="64">
          <cell r="A64" t="str">
            <v>088</v>
          </cell>
          <cell r="B64" t="str">
            <v>BORAL BRICKS PTY LTD - NSW - TRADING</v>
          </cell>
          <cell r="C64" t="str">
            <v>Gosford - Bricks East Coast</v>
          </cell>
          <cell r="D64" t="str">
            <v>297 Manns Road</v>
          </cell>
          <cell r="E64" t="str">
            <v>Gosford</v>
          </cell>
          <cell r="F64" t="str">
            <v>2250</v>
          </cell>
          <cell r="G64" t="str">
            <v>New South Wales</v>
          </cell>
          <cell r="H64" t="str">
            <v>Australia</v>
          </cell>
          <cell r="I64" t="str">
            <v>Not Applicable</v>
          </cell>
          <cell r="J64">
            <v>0</v>
          </cell>
          <cell r="K64">
            <v>0</v>
          </cell>
          <cell r="L64">
            <v>100000</v>
          </cell>
          <cell r="M64">
            <v>0</v>
          </cell>
          <cell r="N64">
            <v>0</v>
          </cell>
          <cell r="O64">
            <v>100000</v>
          </cell>
        </row>
        <row r="65">
          <cell r="A65" t="str">
            <v>088</v>
          </cell>
          <cell r="B65" t="str">
            <v>BORAL BRICKS PTY LTD - NSW - TRADING</v>
          </cell>
          <cell r="C65" t="str">
            <v>Shellcove - Bricks East Coast</v>
          </cell>
          <cell r="D65" t="str">
            <v>504 Princes Highway</v>
          </cell>
          <cell r="E65" t="str">
            <v>Shellcove</v>
          </cell>
          <cell r="F65" t="str">
            <v>2517</v>
          </cell>
          <cell r="G65" t="str">
            <v>New South Wales</v>
          </cell>
          <cell r="H65" t="str">
            <v>Australia</v>
          </cell>
          <cell r="I65" t="str">
            <v>Not Applicable</v>
          </cell>
          <cell r="J65">
            <v>0</v>
          </cell>
          <cell r="K65">
            <v>500000</v>
          </cell>
          <cell r="L65">
            <v>0</v>
          </cell>
          <cell r="M65">
            <v>0</v>
          </cell>
          <cell r="N65">
            <v>0</v>
          </cell>
          <cell r="O65">
            <v>500000</v>
          </cell>
        </row>
        <row r="66">
          <cell r="A66" t="str">
            <v>089</v>
          </cell>
          <cell r="B66" t="str">
            <v>BORAL BRICKS PTY LTD - VIC - TRADING</v>
          </cell>
          <cell r="C66" t="str">
            <v>Boral Bricks - Albury</v>
          </cell>
          <cell r="D66" t="str">
            <v>Hueske Road</v>
          </cell>
          <cell r="E66" t="str">
            <v>Jindera</v>
          </cell>
          <cell r="F66" t="str">
            <v>2642</v>
          </cell>
          <cell r="G66" t="str">
            <v>New South Wales</v>
          </cell>
          <cell r="H66" t="str">
            <v>Australia</v>
          </cell>
          <cell r="I66" t="str">
            <v>Not Applicable</v>
          </cell>
          <cell r="J66">
            <v>1700000</v>
          </cell>
          <cell r="K66">
            <v>2000000</v>
          </cell>
          <cell r="L66">
            <v>3100000</v>
          </cell>
          <cell r="M66">
            <v>450000</v>
          </cell>
          <cell r="N66">
            <v>5000000</v>
          </cell>
          <cell r="O66">
            <v>12250000</v>
          </cell>
        </row>
        <row r="67">
          <cell r="A67" t="str">
            <v>089</v>
          </cell>
          <cell r="B67" t="str">
            <v>BORAL BRICKS PTY LTD - VIC - TRADING</v>
          </cell>
          <cell r="C67" t="str">
            <v>Boral Bricks Bacchus Marsh</v>
          </cell>
          <cell r="D67" t="str">
            <v>Rowsley Road</v>
          </cell>
          <cell r="E67" t="str">
            <v>Bacchus Marsh</v>
          </cell>
          <cell r="F67" t="str">
            <v>3340</v>
          </cell>
          <cell r="G67" t="str">
            <v>Victoria</v>
          </cell>
          <cell r="H67" t="str">
            <v>Australia</v>
          </cell>
          <cell r="I67" t="str">
            <v>Not Applicable</v>
          </cell>
          <cell r="J67">
            <v>60000</v>
          </cell>
          <cell r="K67">
            <v>0</v>
          </cell>
          <cell r="L67">
            <v>0</v>
          </cell>
          <cell r="M67">
            <v>0</v>
          </cell>
          <cell r="N67">
            <v>0</v>
          </cell>
          <cell r="O67">
            <v>60000</v>
          </cell>
        </row>
        <row r="68">
          <cell r="A68" t="str">
            <v>089</v>
          </cell>
          <cell r="B68" t="str">
            <v>BORAL BRICKS PTY LTD - VIC - TRADING</v>
          </cell>
          <cell r="C68" t="str">
            <v>Boral Bricks Scoresby</v>
          </cell>
          <cell r="D68" t="str">
            <v>Cathies Lane</v>
          </cell>
          <cell r="E68" t="str">
            <v>Scoresby</v>
          </cell>
          <cell r="F68" t="str">
            <v>3152</v>
          </cell>
          <cell r="G68" t="str">
            <v>Victoria</v>
          </cell>
          <cell r="H68" t="str">
            <v>Australia</v>
          </cell>
          <cell r="I68" t="str">
            <v>Not Applicable</v>
          </cell>
          <cell r="J68">
            <v>2600000</v>
          </cell>
          <cell r="K68">
            <v>3075000</v>
          </cell>
          <cell r="L68">
            <v>30500000</v>
          </cell>
          <cell r="M68">
            <v>450000</v>
          </cell>
          <cell r="N68">
            <v>8500000</v>
          </cell>
          <cell r="O68">
            <v>45125000</v>
          </cell>
        </row>
        <row r="69">
          <cell r="A69" t="str">
            <v>089</v>
          </cell>
          <cell r="B69" t="str">
            <v>BORAL BRICKS PTY LTD - VIC - TRADING</v>
          </cell>
          <cell r="C69" t="str">
            <v>Boral Bricks Thomastown</v>
          </cell>
          <cell r="D69" t="str">
            <v>2 Trawalla Avenue</v>
          </cell>
          <cell r="E69" t="str">
            <v>Thomastown</v>
          </cell>
          <cell r="F69" t="str">
            <v>3074</v>
          </cell>
          <cell r="G69" t="str">
            <v>Victoria</v>
          </cell>
          <cell r="H69" t="str">
            <v>Australia</v>
          </cell>
          <cell r="I69" t="str">
            <v>Not Applicable</v>
          </cell>
          <cell r="J69">
            <v>3600000</v>
          </cell>
          <cell r="K69">
            <v>6150000</v>
          </cell>
          <cell r="L69">
            <v>53000000</v>
          </cell>
          <cell r="M69">
            <v>1350000</v>
          </cell>
          <cell r="N69">
            <v>8100000</v>
          </cell>
          <cell r="O69">
            <v>72200000</v>
          </cell>
        </row>
        <row r="70">
          <cell r="A70" t="str">
            <v>089</v>
          </cell>
          <cell r="B70" t="str">
            <v>BORAL BRICKS PTY LTD - VIC - TRADING</v>
          </cell>
          <cell r="C70" t="str">
            <v>Boral Bricks Traralgon</v>
          </cell>
          <cell r="D70" t="str">
            <v>Janette Street</v>
          </cell>
          <cell r="E70" t="str">
            <v>Traralgon</v>
          </cell>
          <cell r="F70" t="str">
            <v>3844</v>
          </cell>
          <cell r="G70" t="str">
            <v>Victoria</v>
          </cell>
          <cell r="H70" t="str">
            <v>Australia</v>
          </cell>
          <cell r="I70" t="str">
            <v>Not Applicable</v>
          </cell>
          <cell r="J70">
            <v>1000000</v>
          </cell>
          <cell r="K70">
            <v>2050000</v>
          </cell>
          <cell r="L70">
            <v>2040000</v>
          </cell>
          <cell r="M70">
            <v>450000</v>
          </cell>
          <cell r="N70">
            <v>1000000</v>
          </cell>
          <cell r="O70">
            <v>6540000</v>
          </cell>
        </row>
        <row r="71">
          <cell r="A71" t="str">
            <v>090</v>
          </cell>
          <cell r="B71" t="str">
            <v>BORAL BRICKS PTY LTD - QLD - TRADING</v>
          </cell>
          <cell r="C71" t="str">
            <v>Boral Bricks (NSW) Pty Ltd - Kempsey</v>
          </cell>
          <cell r="D71" t="str">
            <v>South Street</v>
          </cell>
          <cell r="E71" t="str">
            <v>South Kempsey</v>
          </cell>
          <cell r="F71" t="str">
            <v>2440</v>
          </cell>
          <cell r="G71" t="str">
            <v>New South Wales</v>
          </cell>
          <cell r="H71" t="str">
            <v>Australia</v>
          </cell>
          <cell r="I71" t="str">
            <v>Not Applicable</v>
          </cell>
          <cell r="J71">
            <v>1495000</v>
          </cell>
          <cell r="K71">
            <v>1800000</v>
          </cell>
          <cell r="L71">
            <v>30000000</v>
          </cell>
          <cell r="M71">
            <v>450000</v>
          </cell>
          <cell r="N71">
            <v>3970000</v>
          </cell>
          <cell r="O71">
            <v>37715000</v>
          </cell>
        </row>
        <row r="72">
          <cell r="A72" t="str">
            <v>090</v>
          </cell>
          <cell r="B72" t="str">
            <v>BORAL BRICKS PTY LTD - QLD - TRADING</v>
          </cell>
          <cell r="C72" t="str">
            <v>Boral Bricks (Qld) Limited - Darra</v>
          </cell>
          <cell r="D72" t="str">
            <v>Harcourt Road</v>
          </cell>
          <cell r="E72" t="str">
            <v>Darra</v>
          </cell>
          <cell r="F72" t="str">
            <v>4076</v>
          </cell>
          <cell r="G72" t="str">
            <v>Queensland</v>
          </cell>
          <cell r="H72" t="str">
            <v>Australia</v>
          </cell>
          <cell r="I72" t="str">
            <v>Not Applicable</v>
          </cell>
          <cell r="J72">
            <v>5800000</v>
          </cell>
          <cell r="K72">
            <v>7975000</v>
          </cell>
          <cell r="L72">
            <v>90000000</v>
          </cell>
          <cell r="M72">
            <v>3300000</v>
          </cell>
          <cell r="N72">
            <v>13000000</v>
          </cell>
          <cell r="O72">
            <v>120075000</v>
          </cell>
        </row>
        <row r="73">
          <cell r="A73" t="str">
            <v>090</v>
          </cell>
          <cell r="B73" t="str">
            <v>BORAL BRICKS PTY LTD - QLD - TRADING</v>
          </cell>
          <cell r="C73" t="str">
            <v>Boral Bricks (Qld) Pty Ltd - Lawnton</v>
          </cell>
          <cell r="D73" t="str">
            <v>Lawnton Pocket Road</v>
          </cell>
          <cell r="E73" t="str">
            <v>Lawnton</v>
          </cell>
          <cell r="F73" t="str">
            <v>4501</v>
          </cell>
          <cell r="G73" t="str">
            <v>Queensland</v>
          </cell>
          <cell r="H73" t="str">
            <v>Australia</v>
          </cell>
          <cell r="I73" t="str">
            <v>Not Applicable</v>
          </cell>
          <cell r="J73">
            <v>0</v>
          </cell>
          <cell r="K73">
            <v>70000</v>
          </cell>
          <cell r="L73">
            <v>15000</v>
          </cell>
          <cell r="M73">
            <v>0</v>
          </cell>
          <cell r="N73">
            <v>20000</v>
          </cell>
          <cell r="O73">
            <v>105000</v>
          </cell>
        </row>
        <row r="74">
          <cell r="A74" t="str">
            <v>091</v>
          </cell>
          <cell r="B74" t="str">
            <v>BORAL HOME IMPROVEMENTS</v>
          </cell>
          <cell r="C74" t="str">
            <v>Pennant Hills - BHI</v>
          </cell>
          <cell r="E74" t="str">
            <v>Pennant Hills</v>
          </cell>
          <cell r="G74" t="str">
            <v>New South Wales</v>
          </cell>
          <cell r="H74" t="str">
            <v>Australia</v>
          </cell>
          <cell r="I74" t="str">
            <v>Not Applicable</v>
          </cell>
          <cell r="J74">
            <v>0</v>
          </cell>
          <cell r="K74">
            <v>0</v>
          </cell>
          <cell r="L74">
            <v>0</v>
          </cell>
          <cell r="M74">
            <v>0</v>
          </cell>
          <cell r="N74">
            <v>0</v>
          </cell>
          <cell r="O74">
            <v>0</v>
          </cell>
        </row>
        <row r="75">
          <cell r="A75" t="str">
            <v>095</v>
          </cell>
          <cell r="B75" t="str">
            <v>MIDLAND BRICK CO PTY LTD</v>
          </cell>
          <cell r="C75" t="str">
            <v>Bunbury Sales Office</v>
          </cell>
          <cell r="D75" t="str">
            <v>Sandridge Road</v>
          </cell>
          <cell r="E75" t="str">
            <v>Bunbury</v>
          </cell>
          <cell r="F75" t="str">
            <v>6230</v>
          </cell>
          <cell r="G75" t="str">
            <v>Western Australia</v>
          </cell>
          <cell r="H75" t="str">
            <v>Australia</v>
          </cell>
          <cell r="I75" t="str">
            <v>Not Applicable</v>
          </cell>
          <cell r="J75">
            <v>100000</v>
          </cell>
          <cell r="K75">
            <v>45000</v>
          </cell>
          <cell r="L75">
            <v>30000</v>
          </cell>
          <cell r="M75">
            <v>0</v>
          </cell>
          <cell r="N75">
            <v>0</v>
          </cell>
          <cell r="O75">
            <v>175000</v>
          </cell>
        </row>
        <row r="76">
          <cell r="A76" t="str">
            <v>095</v>
          </cell>
          <cell r="B76" t="str">
            <v>MIDLAND BRICK CO PTY LTD</v>
          </cell>
          <cell r="C76" t="str">
            <v>CANNINGTON</v>
          </cell>
          <cell r="D76" t="str">
            <v>68 BICKLEY ROAD</v>
          </cell>
          <cell r="E76" t="str">
            <v>CANNINGTON</v>
          </cell>
          <cell r="F76" t="str">
            <v>6107</v>
          </cell>
          <cell r="G76" t="str">
            <v>Western Australia</v>
          </cell>
          <cell r="H76" t="str">
            <v>Australia</v>
          </cell>
          <cell r="I76" t="str">
            <v>Not Applicable</v>
          </cell>
          <cell r="J76">
            <v>1500000</v>
          </cell>
          <cell r="K76">
            <v>900000</v>
          </cell>
          <cell r="L76">
            <v>3500000</v>
          </cell>
          <cell r="M76">
            <v>20000</v>
          </cell>
          <cell r="N76">
            <v>2400000</v>
          </cell>
          <cell r="O76">
            <v>8320000</v>
          </cell>
        </row>
        <row r="77">
          <cell r="A77" t="str">
            <v>095</v>
          </cell>
          <cell r="B77" t="str">
            <v>MIDLAND BRICK CO PTY LTD</v>
          </cell>
          <cell r="C77" t="str">
            <v>JANDAKOT</v>
          </cell>
          <cell r="D77" t="str">
            <v>LOT 4 ARMADALE ROAD</v>
          </cell>
          <cell r="E77" t="str">
            <v>JANDAKOT</v>
          </cell>
          <cell r="F77" t="str">
            <v>6164</v>
          </cell>
          <cell r="G77" t="str">
            <v>Western Australia</v>
          </cell>
          <cell r="H77" t="str">
            <v>Australia</v>
          </cell>
          <cell r="I77" t="str">
            <v>Not Applicable</v>
          </cell>
          <cell r="J77">
            <v>1000000</v>
          </cell>
          <cell r="K77">
            <v>1200000</v>
          </cell>
          <cell r="L77">
            <v>5500000</v>
          </cell>
          <cell r="M77">
            <v>350000</v>
          </cell>
          <cell r="N77">
            <v>1500000</v>
          </cell>
          <cell r="O77">
            <v>9550000</v>
          </cell>
        </row>
        <row r="78">
          <cell r="A78" t="str">
            <v>095</v>
          </cell>
          <cell r="B78" t="str">
            <v>MIDLAND BRICK CO PTY LTD</v>
          </cell>
          <cell r="C78" t="str">
            <v>Kalgoorlie Sales Office - Midland Brick</v>
          </cell>
          <cell r="D78" t="str">
            <v>Great Eastern Highway</v>
          </cell>
          <cell r="E78" t="str">
            <v>Kalgoorlie</v>
          </cell>
          <cell r="F78" t="str">
            <v>6430</v>
          </cell>
          <cell r="G78" t="str">
            <v>Western Australia</v>
          </cell>
          <cell r="H78" t="str">
            <v>Australia</v>
          </cell>
          <cell r="I78" t="str">
            <v>Not Applicable</v>
          </cell>
          <cell r="J78">
            <v>200000</v>
          </cell>
          <cell r="K78">
            <v>110000</v>
          </cell>
          <cell r="L78">
            <v>30000</v>
          </cell>
          <cell r="M78">
            <v>0</v>
          </cell>
          <cell r="N78">
            <v>0</v>
          </cell>
          <cell r="O78">
            <v>340000</v>
          </cell>
        </row>
        <row r="79">
          <cell r="A79" t="str">
            <v>095</v>
          </cell>
          <cell r="B79" t="str">
            <v>MIDLAND BRICK CO PTY LTD</v>
          </cell>
          <cell r="C79" t="str">
            <v>Mandurah Sales Office - Midland Brick</v>
          </cell>
          <cell r="D79" t="str">
            <v>Pinjarra Road</v>
          </cell>
          <cell r="E79" t="str">
            <v>Mandurah</v>
          </cell>
          <cell r="F79" t="str">
            <v>6210</v>
          </cell>
          <cell r="G79" t="str">
            <v>Western Australia</v>
          </cell>
          <cell r="H79" t="str">
            <v>Australia</v>
          </cell>
          <cell r="I79" t="str">
            <v>Not Applicable</v>
          </cell>
          <cell r="J79">
            <v>150000</v>
          </cell>
          <cell r="K79">
            <v>250000</v>
          </cell>
          <cell r="L79">
            <v>20000</v>
          </cell>
          <cell r="M79">
            <v>0</v>
          </cell>
          <cell r="N79">
            <v>0</v>
          </cell>
          <cell r="O79">
            <v>420000</v>
          </cell>
        </row>
        <row r="80">
          <cell r="A80" t="str">
            <v>095</v>
          </cell>
          <cell r="B80" t="str">
            <v>MIDLAND BRICK CO PTY LTD</v>
          </cell>
          <cell r="C80" t="str">
            <v>Midland Brick - Joondalup</v>
          </cell>
          <cell r="D80" t="str">
            <v>Franklin Lane</v>
          </cell>
          <cell r="E80" t="str">
            <v>Joondalup</v>
          </cell>
          <cell r="F80" t="str">
            <v>6027</v>
          </cell>
          <cell r="G80" t="str">
            <v>Western Australia</v>
          </cell>
          <cell r="H80" t="str">
            <v>Australia</v>
          </cell>
          <cell r="I80" t="str">
            <v>Not Applicable</v>
          </cell>
          <cell r="J80">
            <v>250000</v>
          </cell>
          <cell r="K80">
            <v>165000</v>
          </cell>
          <cell r="L80">
            <v>20000</v>
          </cell>
          <cell r="M80">
            <v>0</v>
          </cell>
          <cell r="N80">
            <v>0</v>
          </cell>
          <cell r="O80">
            <v>435000</v>
          </cell>
        </row>
        <row r="81">
          <cell r="A81" t="str">
            <v>095</v>
          </cell>
          <cell r="B81" t="str">
            <v>MIDLAND BRICK CO PTY LTD</v>
          </cell>
          <cell r="C81" t="str">
            <v>Midland Brick - Kenwick</v>
          </cell>
          <cell r="D81" t="str">
            <v>1700 Albany Highway</v>
          </cell>
          <cell r="E81" t="str">
            <v>Kenwick</v>
          </cell>
          <cell r="F81" t="str">
            <v>6107</v>
          </cell>
          <cell r="G81" t="str">
            <v>Western Australia</v>
          </cell>
          <cell r="H81" t="str">
            <v>Australia</v>
          </cell>
          <cell r="I81" t="str">
            <v>Not Applicable</v>
          </cell>
          <cell r="J81">
            <v>0</v>
          </cell>
          <cell r="K81">
            <v>0</v>
          </cell>
          <cell r="L81">
            <v>0</v>
          </cell>
          <cell r="M81">
            <v>0</v>
          </cell>
          <cell r="N81">
            <v>0</v>
          </cell>
          <cell r="O81">
            <v>0</v>
          </cell>
        </row>
        <row r="82">
          <cell r="A82" t="str">
            <v>095</v>
          </cell>
          <cell r="B82" t="str">
            <v>MIDLAND BRICK CO PTY LTD</v>
          </cell>
          <cell r="C82" t="str">
            <v>Midland Brick - Mandurah</v>
          </cell>
          <cell r="D82" t="str">
            <v>57 Rafferty Road</v>
          </cell>
          <cell r="E82" t="str">
            <v>Mandurah</v>
          </cell>
          <cell r="F82" t="str">
            <v>6210</v>
          </cell>
          <cell r="G82" t="str">
            <v>Western Australia</v>
          </cell>
          <cell r="H82" t="str">
            <v>Australia</v>
          </cell>
          <cell r="I82" t="str">
            <v>Not Applicable</v>
          </cell>
          <cell r="J82">
            <v>100000</v>
          </cell>
          <cell r="K82">
            <v>350000</v>
          </cell>
          <cell r="L82">
            <v>20000</v>
          </cell>
          <cell r="M82">
            <v>0</v>
          </cell>
          <cell r="N82">
            <v>0</v>
          </cell>
          <cell r="O82">
            <v>470000</v>
          </cell>
        </row>
        <row r="83">
          <cell r="A83" t="str">
            <v>095</v>
          </cell>
          <cell r="B83" t="str">
            <v>MIDLAND BRICK CO PTY LTD</v>
          </cell>
          <cell r="C83" t="str">
            <v>Midland Brick - Middle Swan</v>
          </cell>
          <cell r="D83" t="str">
            <v>Bassett Road</v>
          </cell>
          <cell r="E83" t="str">
            <v>Middle Swan</v>
          </cell>
          <cell r="F83" t="str">
            <v>6056</v>
          </cell>
          <cell r="G83" t="str">
            <v>Western Australia</v>
          </cell>
          <cell r="H83" t="str">
            <v>Australia</v>
          </cell>
          <cell r="I83" t="str">
            <v>Not Applicable</v>
          </cell>
          <cell r="J83">
            <v>150000</v>
          </cell>
          <cell r="K83">
            <v>150000</v>
          </cell>
          <cell r="L83">
            <v>80000</v>
          </cell>
          <cell r="M83">
            <v>0</v>
          </cell>
          <cell r="N83">
            <v>0</v>
          </cell>
          <cell r="O83">
            <v>380000</v>
          </cell>
        </row>
        <row r="84">
          <cell r="A84" t="str">
            <v>095</v>
          </cell>
          <cell r="B84" t="str">
            <v>MIDLAND BRICK CO PTY LTD</v>
          </cell>
          <cell r="C84" t="str">
            <v>Midland Factory</v>
          </cell>
          <cell r="D84" t="str">
            <v>Bassett Road</v>
          </cell>
          <cell r="E84" t="str">
            <v>Middle Swan</v>
          </cell>
          <cell r="F84" t="str">
            <v>6056</v>
          </cell>
          <cell r="G84" t="str">
            <v>Western Australia</v>
          </cell>
          <cell r="H84" t="str">
            <v>Australia</v>
          </cell>
          <cell r="I84" t="str">
            <v>Not Applicable</v>
          </cell>
          <cell r="J84">
            <v>20000000</v>
          </cell>
          <cell r="K84">
            <v>55000000</v>
          </cell>
          <cell r="L84">
            <v>250000000</v>
          </cell>
          <cell r="M84">
            <v>3000000</v>
          </cell>
          <cell r="N84">
            <v>120000000</v>
          </cell>
          <cell r="O84">
            <v>448000000</v>
          </cell>
        </row>
        <row r="85">
          <cell r="A85" t="str">
            <v>095</v>
          </cell>
          <cell r="B85" t="str">
            <v>MIDLAND BRICK CO PTY LTD</v>
          </cell>
          <cell r="C85" t="str">
            <v>Myaree Sales Office</v>
          </cell>
          <cell r="D85" t="str">
            <v>Marshall Road</v>
          </cell>
          <cell r="E85" t="str">
            <v>Myaree</v>
          </cell>
          <cell r="F85" t="str">
            <v>6154</v>
          </cell>
          <cell r="G85" t="str">
            <v>Western Australia</v>
          </cell>
          <cell r="H85" t="str">
            <v>Australia</v>
          </cell>
          <cell r="I85" t="str">
            <v>Not Applicable</v>
          </cell>
          <cell r="J85">
            <v>0</v>
          </cell>
          <cell r="K85">
            <v>85000</v>
          </cell>
          <cell r="L85">
            <v>20000</v>
          </cell>
          <cell r="M85">
            <v>0</v>
          </cell>
          <cell r="N85">
            <v>0</v>
          </cell>
          <cell r="O85">
            <v>105000</v>
          </cell>
        </row>
        <row r="86">
          <cell r="A86" t="str">
            <v>095</v>
          </cell>
          <cell r="B86" t="str">
            <v>MIDLAND BRICK CO PTY LTD</v>
          </cell>
          <cell r="C86" t="str">
            <v>New Zealand - MIdland Brick Company</v>
          </cell>
          <cell r="D86" t="str">
            <v>9 Vega Place,  Mairangi Bay</v>
          </cell>
          <cell r="E86" t="str">
            <v>Auckland</v>
          </cell>
          <cell r="G86" t="str">
            <v>Overseas Operations</v>
          </cell>
          <cell r="H86" t="str">
            <v>New Zealand</v>
          </cell>
          <cell r="I86" t="str">
            <v>NZ250</v>
          </cell>
          <cell r="J86">
            <v>1367187.5</v>
          </cell>
          <cell r="K86">
            <v>78125</v>
          </cell>
          <cell r="L86">
            <v>39062.5</v>
          </cell>
          <cell r="M86">
            <v>0</v>
          </cell>
          <cell r="N86">
            <v>1171875</v>
          </cell>
          <cell r="O86">
            <v>2656250</v>
          </cell>
        </row>
        <row r="87">
          <cell r="A87" t="str">
            <v>095</v>
          </cell>
          <cell r="B87" t="str">
            <v>MIDLAND BRICK CO PTY LTD</v>
          </cell>
          <cell r="C87" t="str">
            <v>North Perth Sales Office</v>
          </cell>
          <cell r="D87" t="str">
            <v>London Street</v>
          </cell>
          <cell r="E87" t="str">
            <v>North Perth</v>
          </cell>
          <cell r="F87" t="str">
            <v>6006</v>
          </cell>
          <cell r="G87" t="str">
            <v>Western Australia</v>
          </cell>
          <cell r="H87" t="str">
            <v>Australia</v>
          </cell>
          <cell r="I87" t="str">
            <v>Not Applicable</v>
          </cell>
          <cell r="J87">
            <v>0</v>
          </cell>
          <cell r="K87">
            <v>360000</v>
          </cell>
          <cell r="L87">
            <v>0</v>
          </cell>
          <cell r="M87">
            <v>0</v>
          </cell>
          <cell r="N87">
            <v>0</v>
          </cell>
          <cell r="O87">
            <v>360000</v>
          </cell>
        </row>
        <row r="88">
          <cell r="A88" t="str">
            <v>095</v>
          </cell>
          <cell r="B88" t="str">
            <v>MIDLAND BRICK CO PTY LTD</v>
          </cell>
          <cell r="C88" t="str">
            <v>Osborne Park Sales Office</v>
          </cell>
          <cell r="D88" t="str">
            <v>Parkland Road</v>
          </cell>
          <cell r="E88" t="str">
            <v>Osborne Park</v>
          </cell>
          <cell r="F88" t="str">
            <v>6017</v>
          </cell>
          <cell r="G88" t="str">
            <v>Western Australia</v>
          </cell>
          <cell r="H88" t="str">
            <v>Australia</v>
          </cell>
          <cell r="I88" t="str">
            <v>Not Applicable</v>
          </cell>
          <cell r="J88">
            <v>120000</v>
          </cell>
          <cell r="K88">
            <v>75000</v>
          </cell>
          <cell r="L88">
            <v>95000</v>
          </cell>
          <cell r="M88">
            <v>0</v>
          </cell>
          <cell r="N88">
            <v>0</v>
          </cell>
          <cell r="O88">
            <v>290000</v>
          </cell>
        </row>
        <row r="89">
          <cell r="A89" t="str">
            <v>095</v>
          </cell>
          <cell r="B89" t="str">
            <v>MIDLAND BRICK CO PTY LTD</v>
          </cell>
          <cell r="C89" t="str">
            <v>Rockingham Sales Office</v>
          </cell>
          <cell r="D89" t="str">
            <v>83 Dixon Road</v>
          </cell>
          <cell r="E89" t="str">
            <v>Rockingham</v>
          </cell>
          <cell r="F89" t="str">
            <v>6168</v>
          </cell>
          <cell r="G89" t="str">
            <v>Western Australia</v>
          </cell>
          <cell r="H89" t="str">
            <v>Australia</v>
          </cell>
          <cell r="I89" t="str">
            <v>Not Applicable</v>
          </cell>
          <cell r="J89">
            <v>0</v>
          </cell>
          <cell r="K89">
            <v>175000</v>
          </cell>
          <cell r="L89">
            <v>0</v>
          </cell>
          <cell r="M89">
            <v>0</v>
          </cell>
          <cell r="N89">
            <v>0</v>
          </cell>
          <cell r="O89">
            <v>175000</v>
          </cell>
        </row>
        <row r="90">
          <cell r="A90" t="str">
            <v>095</v>
          </cell>
          <cell r="B90" t="str">
            <v>MIDLAND BRICK CO PTY LTD</v>
          </cell>
          <cell r="C90" t="str">
            <v>Various Suburban &amp; Farm Dwellings -Midland Brick</v>
          </cell>
          <cell r="G90" t="str">
            <v>Western Australia</v>
          </cell>
          <cell r="H90" t="str">
            <v>Australia</v>
          </cell>
          <cell r="I90" t="str">
            <v>Not Applicable</v>
          </cell>
          <cell r="J90">
            <v>0</v>
          </cell>
          <cell r="K90">
            <v>550000</v>
          </cell>
          <cell r="L90">
            <v>0</v>
          </cell>
          <cell r="M90">
            <v>0</v>
          </cell>
          <cell r="N90">
            <v>0</v>
          </cell>
          <cell r="O90">
            <v>550000</v>
          </cell>
        </row>
        <row r="91">
          <cell r="A91" t="str">
            <v>095</v>
          </cell>
          <cell r="B91" t="str">
            <v>MIDLAND BRICK CO PTY LTD</v>
          </cell>
          <cell r="C91" t="str">
            <v>WEMBLEY - Midland</v>
          </cell>
          <cell r="D91" t="str">
            <v>55 SALVADO ROAD</v>
          </cell>
          <cell r="E91" t="str">
            <v>WEMBLEY</v>
          </cell>
          <cell r="F91" t="str">
            <v>6014</v>
          </cell>
          <cell r="G91" t="str">
            <v>Western Australia</v>
          </cell>
          <cell r="H91" t="str">
            <v>Australia</v>
          </cell>
          <cell r="I91" t="str">
            <v>Not Applicable</v>
          </cell>
          <cell r="J91">
            <v>0</v>
          </cell>
          <cell r="K91">
            <v>400000</v>
          </cell>
          <cell r="L91">
            <v>50000</v>
          </cell>
          <cell r="M91">
            <v>0</v>
          </cell>
          <cell r="N91">
            <v>0</v>
          </cell>
          <cell r="O91">
            <v>450000</v>
          </cell>
        </row>
        <row r="92">
          <cell r="A92" t="str">
            <v>101</v>
          </cell>
          <cell r="B92" t="str">
            <v>PLASTERBOARD ADMINISTRATION</v>
          </cell>
          <cell r="C92" t="str">
            <v>Plasterboard - Admin</v>
          </cell>
          <cell r="E92" t="str">
            <v>Camellia</v>
          </cell>
          <cell r="F92" t="str">
            <v>2151</v>
          </cell>
          <cell r="G92" t="str">
            <v>New South Wales</v>
          </cell>
          <cell r="H92" t="str">
            <v>Australia</v>
          </cell>
          <cell r="I92" t="str">
            <v>Not Applicable</v>
          </cell>
          <cell r="J92">
            <v>0</v>
          </cell>
          <cell r="K92">
            <v>0</v>
          </cell>
          <cell r="L92">
            <v>1100000</v>
          </cell>
          <cell r="M92">
            <v>0</v>
          </cell>
          <cell r="N92">
            <v>0</v>
          </cell>
          <cell r="O92">
            <v>1100000</v>
          </cell>
        </row>
        <row r="93">
          <cell r="A93" t="str">
            <v>102</v>
          </cell>
          <cell r="B93" t="str">
            <v>PLASTERBOARD NSW</v>
          </cell>
          <cell r="C93" t="str">
            <v>Boral Plasterboard - ACT</v>
          </cell>
          <cell r="D93" t="str">
            <v>7 Barrier Street</v>
          </cell>
          <cell r="E93" t="str">
            <v>Fyshwick</v>
          </cell>
          <cell r="F93" t="str">
            <v>2609</v>
          </cell>
          <cell r="G93" t="str">
            <v>Australian Capital Territory</v>
          </cell>
          <cell r="H93" t="str">
            <v>Australia</v>
          </cell>
          <cell r="I93" t="str">
            <v>Not Applicable</v>
          </cell>
          <cell r="J93">
            <v>300000</v>
          </cell>
          <cell r="K93">
            <v>1500000</v>
          </cell>
          <cell r="L93">
            <v>200000</v>
          </cell>
          <cell r="M93">
            <v>350000</v>
          </cell>
          <cell r="N93">
            <v>2000000</v>
          </cell>
          <cell r="O93">
            <v>4350000</v>
          </cell>
        </row>
        <row r="94">
          <cell r="A94" t="str">
            <v>102</v>
          </cell>
          <cell r="B94" t="str">
            <v>PLASTERBOARD NSW</v>
          </cell>
          <cell r="C94" t="str">
            <v>Boral Plasterboard - NSW - Camellia</v>
          </cell>
          <cell r="D94" t="str">
            <v>3 Thackeray Street</v>
          </cell>
          <cell r="E94" t="str">
            <v>Camellia</v>
          </cell>
          <cell r="F94" t="str">
            <v>2142</v>
          </cell>
          <cell r="G94" t="str">
            <v>New South Wales</v>
          </cell>
          <cell r="H94" t="str">
            <v>Australia</v>
          </cell>
          <cell r="I94" t="str">
            <v>Not Applicable</v>
          </cell>
          <cell r="J94">
            <v>4000000</v>
          </cell>
          <cell r="K94">
            <v>20000000</v>
          </cell>
          <cell r="L94">
            <v>75000000</v>
          </cell>
          <cell r="M94">
            <v>1500000</v>
          </cell>
          <cell r="N94">
            <v>30000000</v>
          </cell>
          <cell r="O94">
            <v>130500000</v>
          </cell>
        </row>
        <row r="95">
          <cell r="A95" t="str">
            <v>102</v>
          </cell>
          <cell r="B95" t="str">
            <v>PLASTERBOARD NSW</v>
          </cell>
          <cell r="C95" t="str">
            <v>Boral Plasterboard - NSW - Castle Hill</v>
          </cell>
          <cell r="D95" t="str">
            <v>Unit 3/6 Gladstone Road</v>
          </cell>
          <cell r="E95" t="str">
            <v>Castle Hill</v>
          </cell>
          <cell r="F95" t="str">
            <v>2154</v>
          </cell>
          <cell r="G95" t="str">
            <v>New South Wales</v>
          </cell>
          <cell r="H95" t="str">
            <v>Australia</v>
          </cell>
          <cell r="I95" t="str">
            <v>Not Applicable</v>
          </cell>
          <cell r="J95">
            <v>60000</v>
          </cell>
          <cell r="K95">
            <v>0</v>
          </cell>
          <cell r="L95">
            <v>80000</v>
          </cell>
          <cell r="M95">
            <v>50000</v>
          </cell>
          <cell r="N95">
            <v>0</v>
          </cell>
          <cell r="O95">
            <v>190000</v>
          </cell>
        </row>
        <row r="96">
          <cell r="A96" t="str">
            <v>102</v>
          </cell>
          <cell r="B96" t="str">
            <v>PLASTERBOARD NSW</v>
          </cell>
          <cell r="C96" t="str">
            <v>Boral Plasterboard - NSW - Gosford</v>
          </cell>
          <cell r="D96" t="str">
            <v>423 Manns Road</v>
          </cell>
          <cell r="E96" t="str">
            <v>West Gosford</v>
          </cell>
          <cell r="F96" t="str">
            <v>2250</v>
          </cell>
          <cell r="G96" t="str">
            <v>New South Wales</v>
          </cell>
          <cell r="H96" t="str">
            <v>Australia</v>
          </cell>
          <cell r="I96" t="str">
            <v>Not Applicable</v>
          </cell>
          <cell r="J96">
            <v>120000</v>
          </cell>
          <cell r="K96">
            <v>0</v>
          </cell>
          <cell r="L96">
            <v>150000</v>
          </cell>
          <cell r="M96">
            <v>160000</v>
          </cell>
          <cell r="N96">
            <v>700000</v>
          </cell>
          <cell r="O96">
            <v>1130000</v>
          </cell>
        </row>
        <row r="97">
          <cell r="A97" t="str">
            <v>102</v>
          </cell>
          <cell r="B97" t="str">
            <v>PLASTERBOARD NSW</v>
          </cell>
          <cell r="C97" t="str">
            <v>Boral Plasterboard - NSW - Lurnea</v>
          </cell>
          <cell r="D97" t="str">
            <v>7 Lyn Parade</v>
          </cell>
          <cell r="E97" t="str">
            <v>Lurnea</v>
          </cell>
          <cell r="F97" t="str">
            <v>2170</v>
          </cell>
          <cell r="G97" t="str">
            <v>New South Wales</v>
          </cell>
          <cell r="H97" t="str">
            <v>Australia</v>
          </cell>
          <cell r="I97" t="str">
            <v>Not Applicable</v>
          </cell>
          <cell r="J97">
            <v>200000</v>
          </cell>
          <cell r="K97">
            <v>2000000</v>
          </cell>
          <cell r="L97">
            <v>180000</v>
          </cell>
          <cell r="M97">
            <v>400000</v>
          </cell>
          <cell r="N97">
            <v>2500000</v>
          </cell>
          <cell r="O97">
            <v>5280000</v>
          </cell>
        </row>
        <row r="98">
          <cell r="A98" t="str">
            <v>102</v>
          </cell>
          <cell r="B98" t="str">
            <v>PLASTERBOARD NSW</v>
          </cell>
          <cell r="C98" t="str">
            <v>Boral Plasterboard - NSW - Michinbury</v>
          </cell>
          <cell r="D98" t="str">
            <v>Cnr Grex Ave &amp; Marie Ann Place</v>
          </cell>
          <cell r="E98" t="str">
            <v>Minchinbury</v>
          </cell>
          <cell r="F98" t="str">
            <v>2770</v>
          </cell>
          <cell r="G98" t="str">
            <v>New South Wales</v>
          </cell>
          <cell r="H98" t="str">
            <v>Australia</v>
          </cell>
          <cell r="I98" t="str">
            <v>Not Applicable</v>
          </cell>
          <cell r="J98">
            <v>70000</v>
          </cell>
          <cell r="K98">
            <v>0</v>
          </cell>
          <cell r="L98">
            <v>100000</v>
          </cell>
          <cell r="M98">
            <v>90000</v>
          </cell>
          <cell r="N98">
            <v>0</v>
          </cell>
          <cell r="O98">
            <v>260000</v>
          </cell>
        </row>
        <row r="99">
          <cell r="A99" t="str">
            <v>102</v>
          </cell>
          <cell r="B99" t="str">
            <v>PLASTERBOARD NSW</v>
          </cell>
          <cell r="C99" t="str">
            <v>Boral Plasterboard - NSW - Rutherford</v>
          </cell>
          <cell r="D99" t="str">
            <v>New England Highway</v>
          </cell>
          <cell r="E99" t="str">
            <v>Rutherford</v>
          </cell>
          <cell r="F99" t="str">
            <v>2320</v>
          </cell>
          <cell r="G99" t="str">
            <v>New South Wales</v>
          </cell>
          <cell r="H99" t="str">
            <v>Australia</v>
          </cell>
          <cell r="I99" t="str">
            <v>Not Applicable</v>
          </cell>
          <cell r="J99">
            <v>120000</v>
          </cell>
          <cell r="K99">
            <v>0</v>
          </cell>
          <cell r="L99">
            <v>150000</v>
          </cell>
          <cell r="M99">
            <v>160000</v>
          </cell>
          <cell r="N99">
            <v>500000</v>
          </cell>
          <cell r="O99">
            <v>930000</v>
          </cell>
        </row>
        <row r="100">
          <cell r="A100" t="str">
            <v>102</v>
          </cell>
          <cell r="B100" t="str">
            <v>PLASTERBOARD NSW</v>
          </cell>
          <cell r="C100" t="str">
            <v>Boral Plasterboard - NSW - South Norwra</v>
          </cell>
          <cell r="D100" t="str">
            <v>14 Bellevue Street</v>
          </cell>
          <cell r="E100" t="str">
            <v>South Nowra</v>
          </cell>
          <cell r="F100" t="str">
            <v>2541</v>
          </cell>
          <cell r="G100" t="str">
            <v>New South Wales</v>
          </cell>
          <cell r="H100" t="str">
            <v>Australia</v>
          </cell>
          <cell r="I100" t="str">
            <v>Not Applicable</v>
          </cell>
          <cell r="J100">
            <v>100000</v>
          </cell>
          <cell r="K100">
            <v>0</v>
          </cell>
          <cell r="L100">
            <v>100000</v>
          </cell>
          <cell r="M100">
            <v>160000</v>
          </cell>
          <cell r="N100">
            <v>300000</v>
          </cell>
          <cell r="O100">
            <v>660000</v>
          </cell>
        </row>
        <row r="101">
          <cell r="A101" t="str">
            <v>102</v>
          </cell>
          <cell r="B101" t="str">
            <v>PLASTERBOARD NSW</v>
          </cell>
          <cell r="C101" t="str">
            <v>Boral Plasterboard -Albion Park NSW</v>
          </cell>
          <cell r="D101" t="str">
            <v>Lot 31 Rivulet Crescent</v>
          </cell>
          <cell r="E101" t="str">
            <v>Albion Park Hill</v>
          </cell>
          <cell r="F101" t="str">
            <v>2527</v>
          </cell>
          <cell r="G101" t="str">
            <v>New South Wales</v>
          </cell>
          <cell r="H101" t="str">
            <v>Australia</v>
          </cell>
          <cell r="I101" t="str">
            <v>Not Applicable</v>
          </cell>
          <cell r="J101">
            <v>70000</v>
          </cell>
          <cell r="K101">
            <v>0</v>
          </cell>
          <cell r="L101">
            <v>100000</v>
          </cell>
          <cell r="M101">
            <v>160000</v>
          </cell>
          <cell r="N101">
            <v>300000</v>
          </cell>
          <cell r="O101">
            <v>630000</v>
          </cell>
        </row>
        <row r="102">
          <cell r="A102" t="str">
            <v>102</v>
          </cell>
          <cell r="B102" t="str">
            <v>PLASTERBOARD NSW</v>
          </cell>
          <cell r="C102" t="str">
            <v>Plasterboard - NSW Fairy Meadow</v>
          </cell>
          <cell r="D102" t="str">
            <v>1 - 3 Kingsford Street</v>
          </cell>
          <cell r="E102" t="str">
            <v>Fairy Meadow</v>
          </cell>
          <cell r="F102" t="str">
            <v>2519</v>
          </cell>
          <cell r="G102" t="str">
            <v>New South Wales</v>
          </cell>
          <cell r="H102" t="str">
            <v>Australia</v>
          </cell>
          <cell r="I102" t="str">
            <v>Not Applicable</v>
          </cell>
          <cell r="J102">
            <v>40000</v>
          </cell>
          <cell r="K102">
            <v>500000</v>
          </cell>
          <cell r="L102">
            <v>50000</v>
          </cell>
          <cell r="M102">
            <v>50000</v>
          </cell>
          <cell r="N102">
            <v>60000</v>
          </cell>
          <cell r="O102">
            <v>700000</v>
          </cell>
        </row>
        <row r="103">
          <cell r="A103" t="str">
            <v>103</v>
          </cell>
          <cell r="B103" t="str">
            <v>PLASTERBOARD VIC</v>
          </cell>
          <cell r="C103" t="str">
            <v>Boral Australian Gypsum Tasmania - Launceston</v>
          </cell>
          <cell r="D103" t="str">
            <v>57 Dowling Street</v>
          </cell>
          <cell r="E103" t="str">
            <v>Launceston</v>
          </cell>
          <cell r="F103" t="str">
            <v>7250</v>
          </cell>
          <cell r="G103" t="str">
            <v>Tasmania</v>
          </cell>
          <cell r="H103" t="str">
            <v>Australia</v>
          </cell>
          <cell r="I103" t="str">
            <v>Not Applicable</v>
          </cell>
          <cell r="J103">
            <v>100000</v>
          </cell>
          <cell r="K103">
            <v>550000</v>
          </cell>
          <cell r="L103">
            <v>70000</v>
          </cell>
          <cell r="M103">
            <v>0</v>
          </cell>
          <cell r="N103">
            <v>0</v>
          </cell>
          <cell r="O103">
            <v>720000</v>
          </cell>
        </row>
        <row r="104">
          <cell r="A104" t="str">
            <v>103</v>
          </cell>
          <cell r="B104" t="str">
            <v>PLASTERBOARD VIC</v>
          </cell>
          <cell r="C104" t="str">
            <v>Boral Australian Gypsum Tasmania - Moonah</v>
          </cell>
          <cell r="D104" t="str">
            <v>93 Albert Road</v>
          </cell>
          <cell r="E104" t="str">
            <v>Moonah</v>
          </cell>
          <cell r="F104" t="str">
            <v>7009</v>
          </cell>
          <cell r="G104" t="str">
            <v>Tasmania</v>
          </cell>
          <cell r="H104" t="str">
            <v>Australia</v>
          </cell>
          <cell r="I104" t="str">
            <v>Not Applicable</v>
          </cell>
          <cell r="J104">
            <v>200000</v>
          </cell>
          <cell r="K104">
            <v>700000</v>
          </cell>
          <cell r="L104">
            <v>120000</v>
          </cell>
          <cell r="M104">
            <v>0</v>
          </cell>
          <cell r="N104">
            <v>0</v>
          </cell>
          <cell r="O104">
            <v>1020000</v>
          </cell>
        </row>
        <row r="105">
          <cell r="A105" t="str">
            <v>103</v>
          </cell>
          <cell r="B105" t="str">
            <v>PLASTERBOARD VIC</v>
          </cell>
          <cell r="C105" t="str">
            <v>Boral Plasterboard - Cowangie Vic.</v>
          </cell>
          <cell r="D105" t="str">
            <v>Railway Reserve</v>
          </cell>
          <cell r="E105" t="str">
            <v>Cowangie</v>
          </cell>
          <cell r="F105" t="str">
            <v>3506</v>
          </cell>
          <cell r="G105" t="str">
            <v>Victoria</v>
          </cell>
          <cell r="H105" t="str">
            <v>Australia</v>
          </cell>
          <cell r="I105" t="str">
            <v>Not Applicable</v>
          </cell>
          <cell r="J105">
            <v>0</v>
          </cell>
          <cell r="K105">
            <v>0</v>
          </cell>
          <cell r="L105">
            <v>150000</v>
          </cell>
          <cell r="M105">
            <v>0</v>
          </cell>
          <cell r="N105">
            <v>0</v>
          </cell>
          <cell r="O105">
            <v>150000</v>
          </cell>
        </row>
        <row r="106">
          <cell r="A106" t="str">
            <v>103</v>
          </cell>
          <cell r="B106" t="str">
            <v>PLASTERBOARD VIC</v>
          </cell>
          <cell r="C106" t="str">
            <v>Boral Plasterboard Victoria - Campbellfield</v>
          </cell>
          <cell r="D106" t="str">
            <v>37-38 Jessica Road</v>
          </cell>
          <cell r="E106" t="str">
            <v>Campbellfield</v>
          </cell>
          <cell r="F106" t="str">
            <v>3061</v>
          </cell>
          <cell r="G106" t="str">
            <v>Victoria</v>
          </cell>
          <cell r="H106" t="str">
            <v>Australia</v>
          </cell>
          <cell r="I106" t="str">
            <v>Not Applicable</v>
          </cell>
          <cell r="J106">
            <v>110000</v>
          </cell>
          <cell r="K106">
            <v>350000</v>
          </cell>
          <cell r="L106">
            <v>160000</v>
          </cell>
          <cell r="M106">
            <v>5000</v>
          </cell>
          <cell r="N106">
            <v>0</v>
          </cell>
          <cell r="O106">
            <v>625000</v>
          </cell>
        </row>
        <row r="107">
          <cell r="A107" t="str">
            <v>103</v>
          </cell>
          <cell r="B107" t="str">
            <v>PLASTERBOARD VIC</v>
          </cell>
          <cell r="C107" t="str">
            <v>Boral Plasterboard Victoria - Dandenong</v>
          </cell>
          <cell r="D107" t="str">
            <v>6-8 Zenith Road</v>
          </cell>
          <cell r="E107" t="str">
            <v>Dandenong</v>
          </cell>
          <cell r="F107" t="str">
            <v>3175</v>
          </cell>
          <cell r="G107" t="str">
            <v>Victoria</v>
          </cell>
          <cell r="H107" t="str">
            <v>Australia</v>
          </cell>
          <cell r="I107" t="str">
            <v>Not Applicable</v>
          </cell>
          <cell r="J107">
            <v>600000</v>
          </cell>
          <cell r="K107">
            <v>1800000</v>
          </cell>
          <cell r="L107">
            <v>85000</v>
          </cell>
          <cell r="M107">
            <v>390000</v>
          </cell>
          <cell r="N107">
            <v>0</v>
          </cell>
          <cell r="O107">
            <v>2875000</v>
          </cell>
        </row>
        <row r="108">
          <cell r="A108" t="str">
            <v>103</v>
          </cell>
          <cell r="B108" t="str">
            <v>PLASTERBOARD VIC</v>
          </cell>
          <cell r="C108" t="str">
            <v>Boral Plasterboard Victoria - Port Melb</v>
          </cell>
          <cell r="D108" t="str">
            <v>676 Lorimer Street</v>
          </cell>
          <cell r="E108" t="str">
            <v>Port Melbourne</v>
          </cell>
          <cell r="F108" t="str">
            <v>3207</v>
          </cell>
          <cell r="G108" t="str">
            <v>Victoria</v>
          </cell>
          <cell r="H108" t="str">
            <v>Australia</v>
          </cell>
          <cell r="I108" t="str">
            <v>Not Applicable</v>
          </cell>
          <cell r="J108">
            <v>2800000</v>
          </cell>
          <cell r="K108">
            <v>12000000</v>
          </cell>
          <cell r="L108">
            <v>65000000</v>
          </cell>
          <cell r="M108">
            <v>1300000</v>
          </cell>
          <cell r="N108">
            <v>10000</v>
          </cell>
          <cell r="O108">
            <v>81110000</v>
          </cell>
        </row>
        <row r="109">
          <cell r="A109" t="str">
            <v>103</v>
          </cell>
          <cell r="B109" t="str">
            <v>PLASTERBOARD VIC</v>
          </cell>
          <cell r="C109" t="str">
            <v>Murrumbeena - Plasterboard Vic</v>
          </cell>
          <cell r="D109" t="str">
            <v>983 North Road</v>
          </cell>
          <cell r="E109" t="str">
            <v>Murrumbeena</v>
          </cell>
          <cell r="F109" t="str">
            <v>3163</v>
          </cell>
          <cell r="G109" t="str">
            <v>Victoria</v>
          </cell>
          <cell r="H109" t="str">
            <v>Australia</v>
          </cell>
          <cell r="I109" t="str">
            <v>Not Applicable</v>
          </cell>
          <cell r="J109">
            <v>75000</v>
          </cell>
          <cell r="K109">
            <v>250000</v>
          </cell>
          <cell r="L109">
            <v>65000</v>
          </cell>
          <cell r="M109">
            <v>0</v>
          </cell>
          <cell r="N109">
            <v>0</v>
          </cell>
          <cell r="O109">
            <v>390000</v>
          </cell>
        </row>
        <row r="110">
          <cell r="A110" t="str">
            <v>103</v>
          </cell>
          <cell r="B110" t="str">
            <v>PLASTERBOARD VIC</v>
          </cell>
          <cell r="C110" t="str">
            <v>Plasterboar - VIC Brunswick</v>
          </cell>
          <cell r="D110" t="str">
            <v>72 Nicholson Street</v>
          </cell>
          <cell r="E110" t="str">
            <v>Brunswick</v>
          </cell>
          <cell r="F110" t="str">
            <v>3056</v>
          </cell>
          <cell r="G110" t="str">
            <v>Victoria</v>
          </cell>
          <cell r="H110" t="str">
            <v>Australia</v>
          </cell>
          <cell r="I110" t="str">
            <v>Not Applicable</v>
          </cell>
          <cell r="J110">
            <v>50000</v>
          </cell>
          <cell r="K110">
            <v>200000</v>
          </cell>
          <cell r="L110">
            <v>70000</v>
          </cell>
          <cell r="M110">
            <v>0</v>
          </cell>
          <cell r="N110">
            <v>0</v>
          </cell>
          <cell r="O110">
            <v>320000</v>
          </cell>
        </row>
        <row r="111">
          <cell r="A111" t="str">
            <v>103</v>
          </cell>
          <cell r="B111" t="str">
            <v>PLASTERBOARD VIC</v>
          </cell>
          <cell r="C111" t="str">
            <v>Plasterboard - VIC Caroline Springs</v>
          </cell>
          <cell r="E111" t="str">
            <v>Caroline Springs</v>
          </cell>
          <cell r="G111" t="str">
            <v>Victoria</v>
          </cell>
          <cell r="H111" t="str">
            <v>Australia</v>
          </cell>
          <cell r="I111" t="str">
            <v>Not Applicable</v>
          </cell>
          <cell r="J111">
            <v>110000</v>
          </cell>
          <cell r="K111">
            <v>350000</v>
          </cell>
          <cell r="L111">
            <v>80000</v>
          </cell>
          <cell r="M111">
            <v>20000</v>
          </cell>
          <cell r="N111">
            <v>0</v>
          </cell>
          <cell r="O111">
            <v>560000</v>
          </cell>
        </row>
        <row r="112">
          <cell r="A112" t="str">
            <v>103</v>
          </cell>
          <cell r="B112" t="str">
            <v>PLASTERBOARD VIC</v>
          </cell>
          <cell r="C112" t="str">
            <v>Plasterboard - VIC Ingles Street</v>
          </cell>
          <cell r="D112" t="str">
            <v>222 Ingles Street</v>
          </cell>
          <cell r="E112" t="str">
            <v>Port Melbourne</v>
          </cell>
          <cell r="F112" t="str">
            <v>3207</v>
          </cell>
          <cell r="G112" t="str">
            <v>Victoria</v>
          </cell>
          <cell r="H112" t="str">
            <v>Australia</v>
          </cell>
          <cell r="I112" t="str">
            <v>Not Applicable</v>
          </cell>
          <cell r="J112">
            <v>0</v>
          </cell>
          <cell r="K112">
            <v>1500000</v>
          </cell>
          <cell r="L112">
            <v>0</v>
          </cell>
          <cell r="M112">
            <v>0</v>
          </cell>
          <cell r="N112">
            <v>0</v>
          </cell>
          <cell r="O112">
            <v>1500000</v>
          </cell>
        </row>
        <row r="113">
          <cell r="A113" t="str">
            <v>103</v>
          </cell>
          <cell r="B113" t="str">
            <v>PLASTERBOARD VIC</v>
          </cell>
          <cell r="C113" t="str">
            <v>Plasterboard - VIC Sale</v>
          </cell>
          <cell r="E113" t="str">
            <v>Sale</v>
          </cell>
          <cell r="G113" t="str">
            <v>Victoria</v>
          </cell>
          <cell r="H113" t="str">
            <v>Australia</v>
          </cell>
          <cell r="I113" t="str">
            <v>Not Applicable</v>
          </cell>
          <cell r="J113">
            <v>60000</v>
          </cell>
          <cell r="K113">
            <v>200000</v>
          </cell>
          <cell r="L113">
            <v>65000</v>
          </cell>
          <cell r="M113">
            <v>0</v>
          </cell>
          <cell r="N113">
            <v>0</v>
          </cell>
          <cell r="O113">
            <v>325000</v>
          </cell>
        </row>
        <row r="114">
          <cell r="A114" t="str">
            <v>103</v>
          </cell>
          <cell r="B114" t="str">
            <v>PLASTERBOARD VIC</v>
          </cell>
          <cell r="C114" t="str">
            <v>Plasterboard - VIC Sunbury</v>
          </cell>
          <cell r="D114" t="str">
            <v>3 Commerce Court</v>
          </cell>
          <cell r="E114" t="str">
            <v>Sunbury</v>
          </cell>
          <cell r="F114" t="str">
            <v>3429</v>
          </cell>
          <cell r="G114" t="str">
            <v>Victoria</v>
          </cell>
          <cell r="H114" t="str">
            <v>Australia</v>
          </cell>
          <cell r="I114" t="str">
            <v>Not Applicable</v>
          </cell>
          <cell r="J114">
            <v>50000</v>
          </cell>
          <cell r="K114">
            <v>200000</v>
          </cell>
          <cell r="L114">
            <v>45000</v>
          </cell>
          <cell r="M114">
            <v>0</v>
          </cell>
          <cell r="N114">
            <v>0</v>
          </cell>
          <cell r="O114">
            <v>295000</v>
          </cell>
        </row>
        <row r="115">
          <cell r="A115" t="str">
            <v>103</v>
          </cell>
          <cell r="B115" t="str">
            <v>PLASTERBOARD VIC</v>
          </cell>
          <cell r="C115" t="str">
            <v>Plasterboard -VIC Geelong</v>
          </cell>
          <cell r="E115" t="str">
            <v>Geelong</v>
          </cell>
          <cell r="G115" t="str">
            <v>Australian Capital Territory</v>
          </cell>
          <cell r="H115" t="str">
            <v>Australia</v>
          </cell>
          <cell r="I115" t="str">
            <v>Not Applicable</v>
          </cell>
          <cell r="J115">
            <v>130000</v>
          </cell>
          <cell r="K115">
            <v>350000</v>
          </cell>
          <cell r="L115">
            <v>70000</v>
          </cell>
          <cell r="M115">
            <v>10000</v>
          </cell>
          <cell r="N115">
            <v>0</v>
          </cell>
          <cell r="O115">
            <v>560000</v>
          </cell>
        </row>
        <row r="116">
          <cell r="A116" t="str">
            <v>103</v>
          </cell>
          <cell r="B116" t="str">
            <v>PLASTERBOARD VIC</v>
          </cell>
          <cell r="C116" t="str">
            <v>Traralgon - Plasterboard Vic.</v>
          </cell>
          <cell r="D116" t="str">
            <v>37 Standing Drive</v>
          </cell>
          <cell r="E116" t="str">
            <v>Traralgon</v>
          </cell>
          <cell r="F116" t="str">
            <v>3844</v>
          </cell>
          <cell r="G116" t="str">
            <v>Victoria</v>
          </cell>
          <cell r="H116" t="str">
            <v>Australia</v>
          </cell>
          <cell r="I116" t="str">
            <v>Not Applicable</v>
          </cell>
          <cell r="J116">
            <v>100000</v>
          </cell>
          <cell r="K116">
            <v>400000</v>
          </cell>
          <cell r="L116">
            <v>85000</v>
          </cell>
          <cell r="M116">
            <v>0</v>
          </cell>
          <cell r="N116">
            <v>0</v>
          </cell>
          <cell r="O116">
            <v>585000</v>
          </cell>
        </row>
        <row r="117">
          <cell r="A117" t="str">
            <v>104</v>
          </cell>
          <cell r="B117" t="str">
            <v>PLASTERBOARD SA</v>
          </cell>
          <cell r="C117" t="str">
            <v>Boral Australian Gypsum Ltd - NT</v>
          </cell>
          <cell r="D117" t="str">
            <v>Cnr Coonawarra Road &amp; Mataram Street</v>
          </cell>
          <cell r="E117" t="str">
            <v>Winnellie</v>
          </cell>
          <cell r="F117" t="str">
            <v>0821</v>
          </cell>
          <cell r="G117" t="str">
            <v>Northern Territory</v>
          </cell>
          <cell r="H117" t="str">
            <v>Australia</v>
          </cell>
          <cell r="I117" t="str">
            <v>Not Applicable</v>
          </cell>
          <cell r="J117">
            <v>140862</v>
          </cell>
          <cell r="K117">
            <v>500000</v>
          </cell>
          <cell r="L117">
            <v>40000</v>
          </cell>
          <cell r="M117">
            <v>85000</v>
          </cell>
          <cell r="N117">
            <v>941032</v>
          </cell>
          <cell r="O117">
            <v>1706894</v>
          </cell>
        </row>
        <row r="118">
          <cell r="A118" t="str">
            <v>104</v>
          </cell>
          <cell r="B118" t="str">
            <v>PLASTERBOARD SA</v>
          </cell>
          <cell r="C118" t="str">
            <v>Boral Plasterboard - Gillman SA</v>
          </cell>
          <cell r="D118" t="str">
            <v>119-121 Bedford Street</v>
          </cell>
          <cell r="E118" t="str">
            <v>Gillman</v>
          </cell>
          <cell r="F118" t="str">
            <v>5013</v>
          </cell>
          <cell r="G118" t="str">
            <v>South Australia</v>
          </cell>
          <cell r="H118" t="str">
            <v>Australia</v>
          </cell>
          <cell r="I118" t="str">
            <v>Not Applicable</v>
          </cell>
          <cell r="J118">
            <v>764420</v>
          </cell>
          <cell r="K118">
            <v>2500000</v>
          </cell>
          <cell r="L118">
            <v>7400000</v>
          </cell>
          <cell r="M118">
            <v>401000</v>
          </cell>
          <cell r="N118">
            <v>3999997</v>
          </cell>
          <cell r="O118">
            <v>15065417</v>
          </cell>
        </row>
        <row r="119">
          <cell r="A119" t="str">
            <v>104</v>
          </cell>
          <cell r="B119" t="str">
            <v>PLASTERBOARD SA</v>
          </cell>
          <cell r="C119" t="str">
            <v>Boral Plasterboard - Mildura</v>
          </cell>
          <cell r="D119" t="str">
            <v>Cnr Ninth &amp; Almond Avenue</v>
          </cell>
          <cell r="E119" t="str">
            <v>Mildura</v>
          </cell>
          <cell r="F119" t="str">
            <v>3050</v>
          </cell>
          <cell r="G119" t="str">
            <v>Victoria</v>
          </cell>
          <cell r="H119" t="str">
            <v>Australia</v>
          </cell>
          <cell r="I119" t="str">
            <v>Not Applicable</v>
          </cell>
          <cell r="J119">
            <v>35892</v>
          </cell>
          <cell r="K119">
            <v>0</v>
          </cell>
          <cell r="L119">
            <v>35000</v>
          </cell>
          <cell r="M119">
            <v>85000</v>
          </cell>
          <cell r="N119">
            <v>358762</v>
          </cell>
          <cell r="O119">
            <v>514654</v>
          </cell>
        </row>
        <row r="120">
          <cell r="A120" t="str">
            <v>104</v>
          </cell>
          <cell r="B120" t="str">
            <v>PLASTERBOARD SA</v>
          </cell>
          <cell r="C120" t="str">
            <v>Boral Plasterboard - Seaford Meadows</v>
          </cell>
          <cell r="D120" t="str">
            <v>1 Seaford Road</v>
          </cell>
          <cell r="E120" t="str">
            <v>Seaford Meadows</v>
          </cell>
          <cell r="F120" t="str">
            <v>5169</v>
          </cell>
          <cell r="G120" t="str">
            <v>South Australia</v>
          </cell>
          <cell r="H120" t="str">
            <v>Australia</v>
          </cell>
          <cell r="I120" t="str">
            <v>Not Applicable</v>
          </cell>
          <cell r="J120">
            <v>67150</v>
          </cell>
          <cell r="K120">
            <v>0</v>
          </cell>
          <cell r="L120">
            <v>25000</v>
          </cell>
          <cell r="M120">
            <v>95000</v>
          </cell>
          <cell r="N120">
            <v>531467</v>
          </cell>
          <cell r="O120">
            <v>718617</v>
          </cell>
        </row>
        <row r="121">
          <cell r="A121" t="str">
            <v>105</v>
          </cell>
          <cell r="B121" t="str">
            <v>PLASTERBOARD QLD</v>
          </cell>
          <cell r="C121" t="str">
            <v>Boral Plasterboard - Browns Plains</v>
          </cell>
          <cell r="D121" t="str">
            <v>43 Eastern Road</v>
          </cell>
          <cell r="E121" t="str">
            <v>Browns Plains</v>
          </cell>
          <cell r="F121" t="str">
            <v>4118</v>
          </cell>
          <cell r="G121" t="str">
            <v>New South Wales</v>
          </cell>
          <cell r="H121" t="str">
            <v>Australia</v>
          </cell>
          <cell r="I121" t="str">
            <v>Not Applicable</v>
          </cell>
          <cell r="J121">
            <v>127000</v>
          </cell>
          <cell r="K121">
            <v>0</v>
          </cell>
          <cell r="L121">
            <v>63000</v>
          </cell>
          <cell r="M121">
            <v>175000</v>
          </cell>
          <cell r="N121">
            <v>1516000</v>
          </cell>
          <cell r="O121">
            <v>1881000</v>
          </cell>
        </row>
        <row r="122">
          <cell r="A122" t="str">
            <v>105</v>
          </cell>
          <cell r="B122" t="str">
            <v>PLASTERBOARD QLD</v>
          </cell>
          <cell r="C122" t="str">
            <v>Boral Plasterboard - Tweed Heads</v>
          </cell>
          <cell r="D122" t="str">
            <v>14 Morton Street</v>
          </cell>
          <cell r="E122" t="str">
            <v>Chinderah</v>
          </cell>
          <cell r="F122" t="str">
            <v>2487</v>
          </cell>
          <cell r="G122" t="str">
            <v>New South Wales</v>
          </cell>
          <cell r="H122" t="str">
            <v>Australia</v>
          </cell>
          <cell r="I122" t="str">
            <v>Not Applicable</v>
          </cell>
          <cell r="J122">
            <v>46000</v>
          </cell>
          <cell r="K122">
            <v>0</v>
          </cell>
          <cell r="L122">
            <v>30000</v>
          </cell>
          <cell r="M122">
            <v>0</v>
          </cell>
          <cell r="N122">
            <v>116000</v>
          </cell>
          <cell r="O122">
            <v>192000</v>
          </cell>
        </row>
        <row r="123">
          <cell r="A123" t="str">
            <v>105</v>
          </cell>
          <cell r="B123" t="str">
            <v>PLASTERBOARD QLD</v>
          </cell>
          <cell r="C123" t="str">
            <v>Brendale Plasterboard</v>
          </cell>
          <cell r="E123" t="str">
            <v>Brendale</v>
          </cell>
          <cell r="G123" t="str">
            <v>Queensland</v>
          </cell>
          <cell r="H123" t="str">
            <v>Australia</v>
          </cell>
          <cell r="I123" t="str">
            <v>Not Applicable</v>
          </cell>
          <cell r="J123">
            <v>40000</v>
          </cell>
          <cell r="K123">
            <v>0</v>
          </cell>
          <cell r="L123">
            <v>15000</v>
          </cell>
          <cell r="M123">
            <v>280000</v>
          </cell>
          <cell r="N123">
            <v>131000</v>
          </cell>
          <cell r="O123">
            <v>466000</v>
          </cell>
        </row>
        <row r="124">
          <cell r="A124" t="str">
            <v>105</v>
          </cell>
          <cell r="B124" t="str">
            <v>PLASTERBOARD QLD</v>
          </cell>
          <cell r="C124" t="str">
            <v>Burleigh</v>
          </cell>
          <cell r="D124" t="str">
            <v>Lots 35 &amp; 36 Junction Rd</v>
          </cell>
          <cell r="E124" t="str">
            <v>West Burleigh</v>
          </cell>
          <cell r="F124" t="str">
            <v>4220</v>
          </cell>
          <cell r="G124" t="str">
            <v>Queensland</v>
          </cell>
          <cell r="H124" t="str">
            <v>Australia</v>
          </cell>
          <cell r="I124" t="str">
            <v>Not Applicable</v>
          </cell>
          <cell r="J124">
            <v>181000</v>
          </cell>
          <cell r="K124">
            <v>0</v>
          </cell>
          <cell r="L124">
            <v>85000</v>
          </cell>
          <cell r="M124">
            <v>175000</v>
          </cell>
          <cell r="N124">
            <v>2329000</v>
          </cell>
          <cell r="O124">
            <v>2770000</v>
          </cell>
        </row>
        <row r="125">
          <cell r="A125" t="str">
            <v>105</v>
          </cell>
          <cell r="B125" t="str">
            <v>PLASTERBOARD QLD</v>
          </cell>
          <cell r="C125" t="str">
            <v>Cairns - Qld Plasterboard</v>
          </cell>
          <cell r="D125" t="str">
            <v>5 Elphinstone Close</v>
          </cell>
          <cell r="E125" t="str">
            <v>Cairns</v>
          </cell>
          <cell r="F125" t="str">
            <v>4870</v>
          </cell>
          <cell r="G125" t="str">
            <v>Queensland</v>
          </cell>
          <cell r="H125" t="str">
            <v>Australia</v>
          </cell>
          <cell r="I125" t="str">
            <v>Not Applicable</v>
          </cell>
          <cell r="J125">
            <v>110000</v>
          </cell>
          <cell r="K125">
            <v>0</v>
          </cell>
          <cell r="L125">
            <v>58000</v>
          </cell>
          <cell r="M125">
            <v>35000</v>
          </cell>
          <cell r="N125">
            <v>641000</v>
          </cell>
          <cell r="O125">
            <v>844000</v>
          </cell>
        </row>
        <row r="126">
          <cell r="A126" t="str">
            <v>105</v>
          </cell>
          <cell r="B126" t="str">
            <v>PLASTERBOARD QLD</v>
          </cell>
          <cell r="C126" t="str">
            <v>Capalaba - Plasterboard</v>
          </cell>
          <cell r="D126" t="str">
            <v>30 Smith St</v>
          </cell>
          <cell r="E126" t="str">
            <v>Capalaba</v>
          </cell>
          <cell r="F126" t="str">
            <v>4157</v>
          </cell>
          <cell r="G126" t="str">
            <v>Queensland</v>
          </cell>
          <cell r="H126" t="str">
            <v>Australia</v>
          </cell>
          <cell r="I126" t="str">
            <v>Not Applicable</v>
          </cell>
          <cell r="J126">
            <v>60000</v>
          </cell>
          <cell r="K126">
            <v>0</v>
          </cell>
          <cell r="L126">
            <v>50000</v>
          </cell>
          <cell r="M126">
            <v>40000</v>
          </cell>
          <cell r="N126">
            <v>374000</v>
          </cell>
          <cell r="O126">
            <v>524000</v>
          </cell>
        </row>
        <row r="127">
          <cell r="A127" t="str">
            <v>105</v>
          </cell>
          <cell r="B127" t="str">
            <v>PLASTERBOARD QLD</v>
          </cell>
          <cell r="C127" t="str">
            <v>Coffs Harbour - Plasterboard</v>
          </cell>
          <cell r="D127" t="str">
            <v>Cnr Hi-tech St &amp; Craft Cl</v>
          </cell>
          <cell r="E127" t="str">
            <v>Coffs Harbour</v>
          </cell>
          <cell r="F127" t="str">
            <v>2450</v>
          </cell>
          <cell r="G127" t="str">
            <v>New South Wales</v>
          </cell>
          <cell r="H127" t="str">
            <v>Australia</v>
          </cell>
          <cell r="I127" t="str">
            <v>Not Applicable</v>
          </cell>
          <cell r="J127">
            <v>79000</v>
          </cell>
          <cell r="K127">
            <v>0</v>
          </cell>
          <cell r="L127">
            <v>23000</v>
          </cell>
          <cell r="M127">
            <v>35000</v>
          </cell>
          <cell r="N127">
            <v>517000</v>
          </cell>
          <cell r="O127">
            <v>654000</v>
          </cell>
        </row>
        <row r="128">
          <cell r="A128" t="str">
            <v>105</v>
          </cell>
          <cell r="B128" t="str">
            <v>PLASTERBOARD QLD</v>
          </cell>
          <cell r="C128" t="str">
            <v>Ipswich - Plasterboard</v>
          </cell>
          <cell r="D128" t="str">
            <v>Lot 13  Toongarra Rd Wulkuraka Ind Est</v>
          </cell>
          <cell r="E128" t="str">
            <v>Ipswich</v>
          </cell>
          <cell r="F128" t="str">
            <v>4305</v>
          </cell>
          <cell r="G128" t="str">
            <v>Queensland</v>
          </cell>
          <cell r="H128" t="str">
            <v>Australia</v>
          </cell>
          <cell r="I128" t="str">
            <v>Not Applicable</v>
          </cell>
          <cell r="J128">
            <v>36000</v>
          </cell>
          <cell r="K128">
            <v>0</v>
          </cell>
          <cell r="L128">
            <v>60000</v>
          </cell>
          <cell r="M128">
            <v>35000</v>
          </cell>
          <cell r="N128">
            <v>490000</v>
          </cell>
          <cell r="O128">
            <v>621000</v>
          </cell>
        </row>
        <row r="129">
          <cell r="A129" t="str">
            <v>105</v>
          </cell>
          <cell r="B129" t="str">
            <v>PLASTERBOARD QLD</v>
          </cell>
          <cell r="C129" t="str">
            <v>Labrador - Plasterboard</v>
          </cell>
          <cell r="D129" t="str">
            <v>Unit 2 Brisbane Road</v>
          </cell>
          <cell r="E129" t="str">
            <v>Labrador</v>
          </cell>
          <cell r="F129" t="str">
            <v>4215</v>
          </cell>
          <cell r="G129" t="str">
            <v>Queensland</v>
          </cell>
          <cell r="H129" t="str">
            <v>Australia</v>
          </cell>
          <cell r="I129" t="str">
            <v>Not Applicable</v>
          </cell>
          <cell r="J129">
            <v>75000</v>
          </cell>
          <cell r="K129">
            <v>0</v>
          </cell>
          <cell r="L129">
            <v>28000</v>
          </cell>
          <cell r="M129">
            <v>35000</v>
          </cell>
          <cell r="N129">
            <v>297000</v>
          </cell>
          <cell r="O129">
            <v>435000</v>
          </cell>
        </row>
        <row r="130">
          <cell r="A130" t="str">
            <v>105</v>
          </cell>
          <cell r="B130" t="str">
            <v>PLASTERBOARD QLD</v>
          </cell>
          <cell r="C130" t="str">
            <v>Northgate - Plasterboard</v>
          </cell>
          <cell r="D130" t="str">
            <v>733 Nudgee Rd</v>
          </cell>
          <cell r="E130" t="str">
            <v>Northgate</v>
          </cell>
          <cell r="F130" t="str">
            <v>4013</v>
          </cell>
          <cell r="G130" t="str">
            <v>Queensland</v>
          </cell>
          <cell r="H130" t="str">
            <v>Australia</v>
          </cell>
          <cell r="I130" t="str">
            <v>Not Applicable</v>
          </cell>
          <cell r="J130">
            <v>1512000</v>
          </cell>
          <cell r="K130">
            <v>6000000</v>
          </cell>
          <cell r="L130">
            <v>36556000</v>
          </cell>
          <cell r="M130">
            <v>465000</v>
          </cell>
          <cell r="N130">
            <v>10705000</v>
          </cell>
          <cell r="O130">
            <v>55238000</v>
          </cell>
        </row>
        <row r="131">
          <cell r="A131" t="str">
            <v>105</v>
          </cell>
          <cell r="B131" t="str">
            <v>PLASTERBOARD QLD</v>
          </cell>
          <cell r="C131" t="str">
            <v>Rockhampton - Plasterboard</v>
          </cell>
          <cell r="D131" t="str">
            <v>Cnr Mclaughlin &amp; Johnston Sts</v>
          </cell>
          <cell r="E131" t="str">
            <v>Rockhampton</v>
          </cell>
          <cell r="F131" t="str">
            <v>4701</v>
          </cell>
          <cell r="G131" t="str">
            <v>Queensland</v>
          </cell>
          <cell r="H131" t="str">
            <v>Australia</v>
          </cell>
          <cell r="I131" t="str">
            <v>Not Applicable</v>
          </cell>
          <cell r="J131">
            <v>95000</v>
          </cell>
          <cell r="K131">
            <v>0</v>
          </cell>
          <cell r="L131">
            <v>48000</v>
          </cell>
          <cell r="M131">
            <v>75000</v>
          </cell>
          <cell r="N131">
            <v>719000</v>
          </cell>
          <cell r="O131">
            <v>937000</v>
          </cell>
        </row>
        <row r="132">
          <cell r="A132" t="str">
            <v>105</v>
          </cell>
          <cell r="B132" t="str">
            <v>PLASTERBOARD QLD</v>
          </cell>
          <cell r="C132" t="str">
            <v>South Brisbane - Plasterboard</v>
          </cell>
          <cell r="D132" t="str">
            <v>Cnr Fish Lane &amp; Cordelia St</v>
          </cell>
          <cell r="E132" t="str">
            <v>Brisbane</v>
          </cell>
          <cell r="F132" t="str">
            <v>4101</v>
          </cell>
          <cell r="G132" t="str">
            <v>Queensland</v>
          </cell>
          <cell r="H132" t="str">
            <v>Australia</v>
          </cell>
          <cell r="I132" t="str">
            <v>Not Applicable</v>
          </cell>
          <cell r="J132">
            <v>40000</v>
          </cell>
          <cell r="K132">
            <v>0</v>
          </cell>
          <cell r="L132">
            <v>30000</v>
          </cell>
          <cell r="M132">
            <v>35000</v>
          </cell>
          <cell r="N132">
            <v>225000</v>
          </cell>
          <cell r="O132">
            <v>330000</v>
          </cell>
        </row>
        <row r="133">
          <cell r="A133" t="str">
            <v>105</v>
          </cell>
          <cell r="B133" t="str">
            <v>PLASTERBOARD QLD</v>
          </cell>
          <cell r="C133" t="str">
            <v>Townsville - Plasterboard</v>
          </cell>
          <cell r="D133" t="str">
            <v>29 Caldwell Street</v>
          </cell>
          <cell r="E133" t="str">
            <v>Garbutt</v>
          </cell>
          <cell r="F133" t="str">
            <v>4814</v>
          </cell>
          <cell r="G133" t="str">
            <v>Queensland</v>
          </cell>
          <cell r="H133" t="str">
            <v>Australia</v>
          </cell>
          <cell r="I133" t="str">
            <v>Not Applicable</v>
          </cell>
          <cell r="J133">
            <v>130000</v>
          </cell>
          <cell r="K133">
            <v>550000</v>
          </cell>
          <cell r="L133">
            <v>40000</v>
          </cell>
          <cell r="M133">
            <v>170000</v>
          </cell>
          <cell r="N133">
            <v>531000</v>
          </cell>
          <cell r="O133">
            <v>1421000</v>
          </cell>
        </row>
        <row r="134">
          <cell r="A134" t="str">
            <v>106</v>
          </cell>
          <cell r="B134" t="str">
            <v>PLASTERBOARD WA</v>
          </cell>
          <cell r="C134" t="str">
            <v>Boral Plasterboard - Bunbury</v>
          </cell>
          <cell r="D134" t="str">
            <v>11 Allnut Court</v>
          </cell>
          <cell r="E134" t="str">
            <v>Bunbury</v>
          </cell>
          <cell r="F134" t="str">
            <v>6230</v>
          </cell>
          <cell r="G134" t="str">
            <v>Western Australia</v>
          </cell>
          <cell r="H134" t="str">
            <v>Australia</v>
          </cell>
          <cell r="I134" t="str">
            <v>Not Applicable</v>
          </cell>
          <cell r="J134">
            <v>205320</v>
          </cell>
          <cell r="K134">
            <v>0</v>
          </cell>
          <cell r="L134">
            <v>31000</v>
          </cell>
          <cell r="M134">
            <v>85000</v>
          </cell>
          <cell r="N134">
            <v>701636</v>
          </cell>
          <cell r="O134">
            <v>1022956</v>
          </cell>
        </row>
        <row r="135">
          <cell r="A135" t="str">
            <v>106</v>
          </cell>
          <cell r="B135" t="str">
            <v>PLASTERBOARD WA</v>
          </cell>
          <cell r="C135" t="str">
            <v>Boral Plasterboard - Canning Vale</v>
          </cell>
          <cell r="D135" t="str">
            <v>172 Bannister Road</v>
          </cell>
          <cell r="E135" t="str">
            <v>Canning Vale</v>
          </cell>
          <cell r="F135" t="str">
            <v>6155</v>
          </cell>
          <cell r="G135" t="str">
            <v>Western Australia</v>
          </cell>
          <cell r="H135" t="str">
            <v>Australia</v>
          </cell>
          <cell r="I135" t="str">
            <v>Not Applicable</v>
          </cell>
          <cell r="J135">
            <v>0</v>
          </cell>
          <cell r="K135">
            <v>0</v>
          </cell>
          <cell r="L135">
            <v>0</v>
          </cell>
          <cell r="M135">
            <v>0</v>
          </cell>
          <cell r="N135">
            <v>0</v>
          </cell>
          <cell r="O135">
            <v>0</v>
          </cell>
        </row>
        <row r="136">
          <cell r="A136" t="str">
            <v>106</v>
          </cell>
          <cell r="B136" t="str">
            <v>PLASTERBOARD WA</v>
          </cell>
          <cell r="C136" t="str">
            <v>Boral Plasterboard - Landsdale</v>
          </cell>
          <cell r="D136" t="str">
            <v>12 Hoskins Road</v>
          </cell>
          <cell r="E136" t="str">
            <v>Landsdale</v>
          </cell>
          <cell r="F136" t="str">
            <v>6065</v>
          </cell>
          <cell r="G136" t="str">
            <v>Western Australia</v>
          </cell>
          <cell r="H136" t="str">
            <v>Australia</v>
          </cell>
          <cell r="I136" t="str">
            <v>Not Applicable</v>
          </cell>
          <cell r="J136">
            <v>367865</v>
          </cell>
          <cell r="K136">
            <v>0</v>
          </cell>
          <cell r="L136">
            <v>50000</v>
          </cell>
          <cell r="M136">
            <v>100000</v>
          </cell>
          <cell r="N136">
            <v>1145216</v>
          </cell>
          <cell r="O136">
            <v>1663081</v>
          </cell>
        </row>
        <row r="137">
          <cell r="A137" t="str">
            <v>106</v>
          </cell>
          <cell r="B137" t="str">
            <v>PLASTERBOARD WA</v>
          </cell>
          <cell r="C137" t="str">
            <v>Boral Plasterboard - Mandurah</v>
          </cell>
          <cell r="D137" t="str">
            <v>20 Quarry Way</v>
          </cell>
          <cell r="E137" t="str">
            <v>Mandurah</v>
          </cell>
          <cell r="F137" t="str">
            <v>6210</v>
          </cell>
          <cell r="G137" t="str">
            <v>Western Australia</v>
          </cell>
          <cell r="H137" t="str">
            <v>Australia</v>
          </cell>
          <cell r="I137" t="str">
            <v>Not Applicable</v>
          </cell>
          <cell r="J137">
            <v>34222</v>
          </cell>
          <cell r="K137">
            <v>0</v>
          </cell>
          <cell r="L137">
            <v>5000</v>
          </cell>
          <cell r="M137">
            <v>50000</v>
          </cell>
          <cell r="N137">
            <v>84040</v>
          </cell>
          <cell r="O137">
            <v>173262</v>
          </cell>
        </row>
        <row r="138">
          <cell r="A138" t="str">
            <v>107</v>
          </cell>
          <cell r="B138" t="str">
            <v>PLASTERBOARD EXPORT</v>
          </cell>
          <cell r="C138" t="str">
            <v>Plasterboard - Exports</v>
          </cell>
          <cell r="E138" t="str">
            <v>Port Melbourne</v>
          </cell>
          <cell r="F138" t="str">
            <v>3100</v>
          </cell>
          <cell r="G138" t="str">
            <v>Victoria</v>
          </cell>
          <cell r="H138" t="str">
            <v>Australia</v>
          </cell>
          <cell r="I138" t="str">
            <v>Not Applicable</v>
          </cell>
          <cell r="J138">
            <v>0</v>
          </cell>
          <cell r="K138">
            <v>0</v>
          </cell>
          <cell r="L138">
            <v>0</v>
          </cell>
          <cell r="M138">
            <v>0</v>
          </cell>
          <cell r="N138">
            <v>0</v>
          </cell>
          <cell r="O138">
            <v>0</v>
          </cell>
        </row>
        <row r="139">
          <cell r="A139" t="str">
            <v>109</v>
          </cell>
          <cell r="B139" t="str">
            <v>WARATAH GYPSUM PTY LTD</v>
          </cell>
          <cell r="C139" t="str">
            <v>Waratah Gypsum Pty Limited - Gillman SA</v>
          </cell>
          <cell r="D139" t="str">
            <v>119-121 Bedford Street</v>
          </cell>
          <cell r="E139" t="str">
            <v>Gillman</v>
          </cell>
          <cell r="F139" t="str">
            <v>5014</v>
          </cell>
          <cell r="G139" t="str">
            <v>South Australia</v>
          </cell>
          <cell r="H139" t="str">
            <v>Australia</v>
          </cell>
          <cell r="I139" t="str">
            <v>Not Applicable</v>
          </cell>
          <cell r="J139">
            <v>0</v>
          </cell>
          <cell r="K139">
            <v>600000</v>
          </cell>
          <cell r="L139">
            <v>100000</v>
          </cell>
          <cell r="M139">
            <v>0</v>
          </cell>
          <cell r="N139">
            <v>0</v>
          </cell>
          <cell r="O139">
            <v>700000</v>
          </cell>
        </row>
        <row r="140">
          <cell r="A140" t="str">
            <v>120</v>
          </cell>
          <cell r="B140" t="str">
            <v>ROOFING - ADMIN</v>
          </cell>
          <cell r="C140" t="str">
            <v>Roofing Adminstration</v>
          </cell>
          <cell r="E140" t="str">
            <v>Pennant Hills</v>
          </cell>
          <cell r="F140" t="str">
            <v>2145</v>
          </cell>
          <cell r="G140" t="str">
            <v>New South Wales</v>
          </cell>
          <cell r="H140" t="str">
            <v>Australia</v>
          </cell>
          <cell r="I140" t="str">
            <v>Not Applicable</v>
          </cell>
          <cell r="J140">
            <v>0</v>
          </cell>
          <cell r="K140">
            <v>0</v>
          </cell>
          <cell r="L140">
            <v>0</v>
          </cell>
          <cell r="M140">
            <v>0</v>
          </cell>
          <cell r="N140">
            <v>0</v>
          </cell>
          <cell r="O140">
            <v>0</v>
          </cell>
        </row>
        <row r="141">
          <cell r="A141" t="str">
            <v>121</v>
          </cell>
          <cell r="B141" t="str">
            <v>ROOFING-NSW-TERRACOTTA</v>
          </cell>
          <cell r="C141" t="str">
            <v>Boral Montoro - NSW Clay Tiles</v>
          </cell>
          <cell r="E141" t="str">
            <v>Wyee</v>
          </cell>
          <cell r="G141" t="str">
            <v>New South Wales</v>
          </cell>
          <cell r="H141" t="str">
            <v>Australia</v>
          </cell>
          <cell r="I141" t="str">
            <v>Not Applicable</v>
          </cell>
          <cell r="J141">
            <v>1300000</v>
          </cell>
          <cell r="K141">
            <v>9000000</v>
          </cell>
          <cell r="L141">
            <v>40000000</v>
          </cell>
          <cell r="M141">
            <v>450000</v>
          </cell>
          <cell r="N141">
            <v>8300000</v>
          </cell>
          <cell r="O141">
            <v>59050000</v>
          </cell>
        </row>
        <row r="142">
          <cell r="A142" t="str">
            <v>122</v>
          </cell>
          <cell r="B142" t="str">
            <v>ROOFING-NSW-CONCRETE</v>
          </cell>
          <cell r="C142" t="str">
            <v>Boral Montoro - ACT</v>
          </cell>
          <cell r="E142" t="str">
            <v>Fyshwick</v>
          </cell>
          <cell r="G142" t="str">
            <v>Australian Capital Territory</v>
          </cell>
          <cell r="H142" t="str">
            <v>Australia</v>
          </cell>
          <cell r="I142" t="str">
            <v>Not Applicable</v>
          </cell>
          <cell r="J142">
            <v>100000</v>
          </cell>
          <cell r="K142">
            <v>0</v>
          </cell>
          <cell r="L142">
            <v>0</v>
          </cell>
          <cell r="M142">
            <v>0</v>
          </cell>
          <cell r="N142">
            <v>5000000</v>
          </cell>
          <cell r="O142">
            <v>5100000</v>
          </cell>
        </row>
        <row r="143">
          <cell r="A143" t="str">
            <v>122</v>
          </cell>
          <cell r="B143" t="str">
            <v>ROOFING-NSW-CONCRETE</v>
          </cell>
          <cell r="C143" t="str">
            <v>Boral Montoro - NSW Concrete Tiles</v>
          </cell>
          <cell r="D143" t="str">
            <v>Mackellar Street</v>
          </cell>
          <cell r="E143" t="str">
            <v>Emu plains</v>
          </cell>
          <cell r="F143" t="str">
            <v>2750</v>
          </cell>
          <cell r="G143" t="str">
            <v>New South Wales</v>
          </cell>
          <cell r="H143" t="str">
            <v>Australia</v>
          </cell>
          <cell r="I143" t="str">
            <v>Not Applicable</v>
          </cell>
          <cell r="J143">
            <v>2000000</v>
          </cell>
          <cell r="K143">
            <v>3000000</v>
          </cell>
          <cell r="L143">
            <v>7500000</v>
          </cell>
          <cell r="M143">
            <v>200000</v>
          </cell>
          <cell r="N143">
            <v>10200000</v>
          </cell>
          <cell r="O143">
            <v>22900000</v>
          </cell>
        </row>
        <row r="144">
          <cell r="A144" t="str">
            <v>123</v>
          </cell>
          <cell r="B144" t="str">
            <v>ROOFING-VIC</v>
          </cell>
          <cell r="C144" t="str">
            <v>Boral Montoro Pty Ltd - Springvale Vic</v>
          </cell>
          <cell r="D144" t="str">
            <v>Tootal Road</v>
          </cell>
          <cell r="E144" t="str">
            <v>Springvale</v>
          </cell>
          <cell r="F144" t="str">
            <v>3171</v>
          </cell>
          <cell r="G144" t="str">
            <v>Victoria</v>
          </cell>
          <cell r="H144" t="str">
            <v>Australia</v>
          </cell>
          <cell r="I144" t="str">
            <v>Not Applicable</v>
          </cell>
          <cell r="J144">
            <v>2000000</v>
          </cell>
          <cell r="K144">
            <v>0</v>
          </cell>
          <cell r="L144">
            <v>3500000</v>
          </cell>
          <cell r="M144">
            <v>0</v>
          </cell>
          <cell r="N144">
            <v>2000000</v>
          </cell>
          <cell r="O144">
            <v>7500000</v>
          </cell>
        </row>
        <row r="145">
          <cell r="A145" t="str">
            <v>124</v>
          </cell>
          <cell r="B145" t="str">
            <v>ROOFING-SA</v>
          </cell>
          <cell r="C145" t="str">
            <v>Boral Montoro - SA</v>
          </cell>
          <cell r="D145" t="str">
            <v>Main North Road</v>
          </cell>
          <cell r="E145" t="str">
            <v>Pooraka</v>
          </cell>
          <cell r="F145" t="str">
            <v>5095</v>
          </cell>
          <cell r="G145" t="str">
            <v>South Australia</v>
          </cell>
          <cell r="H145" t="str">
            <v>Australia</v>
          </cell>
          <cell r="I145" t="str">
            <v>Not Applicable</v>
          </cell>
          <cell r="J145">
            <v>1000000</v>
          </cell>
          <cell r="K145">
            <v>0</v>
          </cell>
          <cell r="L145">
            <v>200000</v>
          </cell>
          <cell r="M145">
            <v>0</v>
          </cell>
          <cell r="N145">
            <v>2000000</v>
          </cell>
          <cell r="O145">
            <v>3200000</v>
          </cell>
        </row>
        <row r="146">
          <cell r="A146" t="str">
            <v>125</v>
          </cell>
          <cell r="B146" t="str">
            <v>ROOFING-QLD</v>
          </cell>
          <cell r="C146" t="str">
            <v>Boral Montoro - Qld</v>
          </cell>
          <cell r="D146" t="str">
            <v>110-118 cobalt Street</v>
          </cell>
          <cell r="E146" t="str">
            <v>Carole Park</v>
          </cell>
          <cell r="F146" t="str">
            <v>4300</v>
          </cell>
          <cell r="G146" t="str">
            <v>Queensland</v>
          </cell>
          <cell r="H146" t="str">
            <v>Australia</v>
          </cell>
          <cell r="I146" t="str">
            <v>Not Applicable</v>
          </cell>
          <cell r="J146">
            <v>750000</v>
          </cell>
          <cell r="K146">
            <v>2000000</v>
          </cell>
          <cell r="L146">
            <v>7000000</v>
          </cell>
          <cell r="M146">
            <v>0</v>
          </cell>
          <cell r="N146">
            <v>13500000</v>
          </cell>
          <cell r="O146">
            <v>23250000</v>
          </cell>
        </row>
        <row r="147">
          <cell r="A147" t="str">
            <v>126</v>
          </cell>
          <cell r="B147" t="str">
            <v>ROOFING - EXPORT</v>
          </cell>
          <cell r="C147" t="str">
            <v>Roofing - Exports</v>
          </cell>
          <cell r="E147" t="str">
            <v>Pennant Hills</v>
          </cell>
          <cell r="F147" t="str">
            <v>2510</v>
          </cell>
          <cell r="G147" t="str">
            <v>New South Wales</v>
          </cell>
          <cell r="H147" t="str">
            <v>Australia</v>
          </cell>
          <cell r="I147" t="str">
            <v>Not Applicable</v>
          </cell>
          <cell r="J147">
            <v>0</v>
          </cell>
          <cell r="K147">
            <v>0</v>
          </cell>
          <cell r="L147">
            <v>0</v>
          </cell>
          <cell r="M147">
            <v>0</v>
          </cell>
          <cell r="N147">
            <v>0</v>
          </cell>
          <cell r="O147">
            <v>0</v>
          </cell>
        </row>
        <row r="148">
          <cell r="A148" t="str">
            <v>140</v>
          </cell>
          <cell r="B148" t="str">
            <v>WINDOWS-ADMIN</v>
          </cell>
          <cell r="C148" t="str">
            <v>Boral Window Division- Adminstration</v>
          </cell>
          <cell r="D148" t="str">
            <v>90 Mount Street</v>
          </cell>
          <cell r="E148" t="str">
            <v>Heidelberg</v>
          </cell>
          <cell r="F148" t="str">
            <v>3084</v>
          </cell>
          <cell r="G148" t="str">
            <v>Victoria</v>
          </cell>
          <cell r="H148" t="str">
            <v>Australia</v>
          </cell>
          <cell r="I148" t="str">
            <v>Not Applicable</v>
          </cell>
          <cell r="J148">
            <v>0</v>
          </cell>
          <cell r="K148">
            <v>11200000</v>
          </cell>
          <cell r="L148">
            <v>0</v>
          </cell>
          <cell r="M148">
            <v>0</v>
          </cell>
          <cell r="N148">
            <v>0</v>
          </cell>
          <cell r="O148">
            <v>11200000</v>
          </cell>
        </row>
        <row r="149">
          <cell r="A149" t="str">
            <v>141</v>
          </cell>
          <cell r="B149" t="str">
            <v>BORAL WINDOWS PTY LTD</v>
          </cell>
          <cell r="C149" t="str">
            <v>Windows NSW</v>
          </cell>
          <cell r="D149" t="str">
            <v>Smithfield Road</v>
          </cell>
          <cell r="E149" t="str">
            <v>Smithfield</v>
          </cell>
          <cell r="F149" t="str">
            <v>2160</v>
          </cell>
          <cell r="G149" t="str">
            <v>New South Wales</v>
          </cell>
          <cell r="H149" t="str">
            <v>Australia</v>
          </cell>
          <cell r="I149" t="str">
            <v>Not Applicable</v>
          </cell>
          <cell r="J149">
            <v>0</v>
          </cell>
          <cell r="K149">
            <v>0</v>
          </cell>
          <cell r="L149">
            <v>0</v>
          </cell>
          <cell r="M149">
            <v>0</v>
          </cell>
          <cell r="N149">
            <v>0</v>
          </cell>
          <cell r="O149">
            <v>0</v>
          </cell>
        </row>
        <row r="150">
          <cell r="A150" t="str">
            <v>142</v>
          </cell>
          <cell r="B150" t="str">
            <v>WINDOWS-NSW-BWS</v>
          </cell>
          <cell r="C150" t="str">
            <v>Dowell (NSW) - Queanbeyan</v>
          </cell>
          <cell r="D150" t="str">
            <v>6-10 Barber Street</v>
          </cell>
          <cell r="E150" t="str">
            <v>Queanbeyan</v>
          </cell>
          <cell r="F150" t="str">
            <v>2620</v>
          </cell>
          <cell r="G150" t="str">
            <v>New South Wales</v>
          </cell>
          <cell r="H150" t="str">
            <v>Australia</v>
          </cell>
          <cell r="I150" t="str">
            <v>Not Applicable</v>
          </cell>
          <cell r="J150">
            <v>700000</v>
          </cell>
          <cell r="K150">
            <v>530000</v>
          </cell>
          <cell r="L150">
            <v>220000</v>
          </cell>
          <cell r="M150">
            <v>75000</v>
          </cell>
          <cell r="N150">
            <v>400000</v>
          </cell>
          <cell r="O150">
            <v>1925000</v>
          </cell>
        </row>
        <row r="151">
          <cell r="A151" t="str">
            <v>142</v>
          </cell>
          <cell r="B151" t="str">
            <v>WINDOWS-NSW-BWS</v>
          </cell>
          <cell r="C151" t="str">
            <v>Newcastle - Windows Systems</v>
          </cell>
          <cell r="D151" t="str">
            <v>1-4 Statham St</v>
          </cell>
          <cell r="E151" t="str">
            <v>Newcastle</v>
          </cell>
          <cell r="F151" t="str">
            <v>2290</v>
          </cell>
          <cell r="G151" t="str">
            <v>New South Wales</v>
          </cell>
          <cell r="H151" t="str">
            <v>Australia</v>
          </cell>
          <cell r="I151" t="str">
            <v>Not Applicable</v>
          </cell>
          <cell r="J151">
            <v>200000</v>
          </cell>
          <cell r="K151">
            <v>0</v>
          </cell>
          <cell r="L151">
            <v>150000</v>
          </cell>
          <cell r="M151">
            <v>75000</v>
          </cell>
          <cell r="N151">
            <v>300000</v>
          </cell>
          <cell r="O151">
            <v>725000</v>
          </cell>
        </row>
        <row r="152">
          <cell r="A152" t="str">
            <v>142</v>
          </cell>
          <cell r="B152" t="str">
            <v>WINDOWS-NSW-BWS</v>
          </cell>
          <cell r="C152" t="str">
            <v>NOWRA - BWS NSW</v>
          </cell>
          <cell r="D152" t="str">
            <v>LOT 8 PRINCESS HIGHWAY</v>
          </cell>
          <cell r="E152" t="str">
            <v>NOWRA</v>
          </cell>
          <cell r="F152" t="str">
            <v>2540</v>
          </cell>
          <cell r="G152" t="str">
            <v>New South Wales</v>
          </cell>
          <cell r="H152" t="str">
            <v>Australia</v>
          </cell>
          <cell r="I152" t="str">
            <v>Not Applicable</v>
          </cell>
          <cell r="J152">
            <v>300000</v>
          </cell>
          <cell r="K152">
            <v>220000</v>
          </cell>
          <cell r="L152">
            <v>150000</v>
          </cell>
          <cell r="M152">
            <v>75000</v>
          </cell>
          <cell r="N152">
            <v>300000</v>
          </cell>
          <cell r="O152">
            <v>1045000</v>
          </cell>
        </row>
        <row r="153">
          <cell r="A153" t="str">
            <v>142</v>
          </cell>
          <cell r="B153" t="str">
            <v>WINDOWS-NSW-BWS</v>
          </cell>
          <cell r="C153" t="str">
            <v>Pambula Windows</v>
          </cell>
          <cell r="D153" t="str">
            <v>3-11 Toalla</v>
          </cell>
          <cell r="E153" t="str">
            <v>Pambula</v>
          </cell>
          <cell r="F153" t="str">
            <v>2549</v>
          </cell>
          <cell r="G153" t="str">
            <v>New South Wales</v>
          </cell>
          <cell r="H153" t="str">
            <v>Australia</v>
          </cell>
          <cell r="I153" t="str">
            <v>Not Applicable</v>
          </cell>
          <cell r="J153">
            <v>0</v>
          </cell>
          <cell r="K153">
            <v>0</v>
          </cell>
          <cell r="L153">
            <v>0</v>
          </cell>
          <cell r="M153">
            <v>0</v>
          </cell>
          <cell r="N153">
            <v>100000</v>
          </cell>
          <cell r="O153">
            <v>100000</v>
          </cell>
        </row>
        <row r="154">
          <cell r="A154" t="str">
            <v>142</v>
          </cell>
          <cell r="B154" t="str">
            <v>WINDOWS-NSW-BWS</v>
          </cell>
          <cell r="C154" t="str">
            <v>Smithfield</v>
          </cell>
          <cell r="D154" t="str">
            <v>312 Woodpark Rd</v>
          </cell>
          <cell r="E154" t="str">
            <v>Sydney</v>
          </cell>
          <cell r="F154" t="str">
            <v>2164</v>
          </cell>
          <cell r="G154" t="str">
            <v>New South Wales</v>
          </cell>
          <cell r="H154" t="str">
            <v>Australia</v>
          </cell>
          <cell r="I154" t="str">
            <v>Not Applicable</v>
          </cell>
          <cell r="J154">
            <v>1500000</v>
          </cell>
          <cell r="K154">
            <v>0</v>
          </cell>
          <cell r="L154">
            <v>2700000</v>
          </cell>
          <cell r="M154">
            <v>250000</v>
          </cell>
          <cell r="N154">
            <v>300000</v>
          </cell>
          <cell r="O154">
            <v>4750000</v>
          </cell>
        </row>
        <row r="155">
          <cell r="A155" t="str">
            <v>148</v>
          </cell>
          <cell r="B155" t="str">
            <v>WINDOWS-VIC</v>
          </cell>
          <cell r="C155" t="str">
            <v>Boral Windows</v>
          </cell>
          <cell r="D155" t="str">
            <v>21 Braithwaite Street</v>
          </cell>
          <cell r="E155" t="str">
            <v>Warrnambool</v>
          </cell>
          <cell r="F155" t="str">
            <v>3280</v>
          </cell>
          <cell r="G155" t="str">
            <v>Victoria</v>
          </cell>
          <cell r="H155" t="str">
            <v>Australia</v>
          </cell>
          <cell r="I155" t="str">
            <v>Not Applicable</v>
          </cell>
          <cell r="J155">
            <v>60000</v>
          </cell>
          <cell r="K155">
            <v>0</v>
          </cell>
          <cell r="L155">
            <v>10000</v>
          </cell>
          <cell r="M155">
            <v>0</v>
          </cell>
          <cell r="N155">
            <v>750000</v>
          </cell>
          <cell r="O155">
            <v>820000</v>
          </cell>
        </row>
        <row r="156">
          <cell r="A156" t="str">
            <v>148</v>
          </cell>
          <cell r="B156" t="str">
            <v>WINDOWS-VIC</v>
          </cell>
          <cell r="C156" t="str">
            <v>Boral Windows - Albury</v>
          </cell>
          <cell r="D156" t="str">
            <v>653 Dean Street</v>
          </cell>
          <cell r="E156" t="str">
            <v>Albury</v>
          </cell>
          <cell r="F156" t="str">
            <v>2640</v>
          </cell>
          <cell r="G156" t="str">
            <v>New South Wales</v>
          </cell>
          <cell r="H156" t="str">
            <v>Australia</v>
          </cell>
          <cell r="I156" t="str">
            <v>Not Applicable</v>
          </cell>
          <cell r="J156">
            <v>4000</v>
          </cell>
          <cell r="K156">
            <v>0</v>
          </cell>
          <cell r="L156">
            <v>5000</v>
          </cell>
          <cell r="M156">
            <v>0</v>
          </cell>
          <cell r="N156">
            <v>250000</v>
          </cell>
          <cell r="O156">
            <v>259000</v>
          </cell>
        </row>
        <row r="157">
          <cell r="A157" t="str">
            <v>148</v>
          </cell>
          <cell r="B157" t="str">
            <v>WINDOWS-VIC</v>
          </cell>
          <cell r="C157" t="str">
            <v>Boral Windows - Bendigo</v>
          </cell>
          <cell r="D157" t="str">
            <v>Unit 2/32 Charleston Place</v>
          </cell>
          <cell r="E157" t="str">
            <v>Bendigo</v>
          </cell>
          <cell r="F157" t="str">
            <v>3550</v>
          </cell>
          <cell r="G157" t="str">
            <v>Victoria</v>
          </cell>
          <cell r="H157" t="str">
            <v>Australia</v>
          </cell>
          <cell r="I157" t="str">
            <v>Not Applicable</v>
          </cell>
          <cell r="J157">
            <v>2000</v>
          </cell>
          <cell r="K157">
            <v>0</v>
          </cell>
          <cell r="L157">
            <v>15000</v>
          </cell>
          <cell r="M157">
            <v>0</v>
          </cell>
          <cell r="N157">
            <v>350000</v>
          </cell>
          <cell r="O157">
            <v>367000</v>
          </cell>
        </row>
        <row r="158">
          <cell r="A158" t="str">
            <v>148</v>
          </cell>
          <cell r="B158" t="str">
            <v>WINDOWS-VIC</v>
          </cell>
          <cell r="C158" t="str">
            <v>Boral Windows - Geelong</v>
          </cell>
          <cell r="D158" t="str">
            <v>68 Pakington Street</v>
          </cell>
          <cell r="E158" t="str">
            <v>Geelong West</v>
          </cell>
          <cell r="F158" t="str">
            <v>3218</v>
          </cell>
          <cell r="G158" t="str">
            <v>Victoria</v>
          </cell>
          <cell r="H158" t="str">
            <v>Australia</v>
          </cell>
          <cell r="I158" t="str">
            <v>Not Applicable</v>
          </cell>
          <cell r="J158">
            <v>5000</v>
          </cell>
          <cell r="K158">
            <v>0</v>
          </cell>
          <cell r="L158">
            <v>10000</v>
          </cell>
          <cell r="M158">
            <v>0</v>
          </cell>
          <cell r="N158">
            <v>400000</v>
          </cell>
          <cell r="O158">
            <v>415000</v>
          </cell>
        </row>
        <row r="159">
          <cell r="A159" t="str">
            <v>148</v>
          </cell>
          <cell r="B159" t="str">
            <v>WINDOWS-VIC</v>
          </cell>
          <cell r="C159" t="str">
            <v>Boral Windows - Tasmania</v>
          </cell>
          <cell r="D159" t="str">
            <v>99 Albert Road</v>
          </cell>
          <cell r="E159" t="str">
            <v>Moonah</v>
          </cell>
          <cell r="F159" t="str">
            <v>7009</v>
          </cell>
          <cell r="G159" t="str">
            <v>Tasmania</v>
          </cell>
          <cell r="H159" t="str">
            <v>Australia</v>
          </cell>
          <cell r="I159" t="str">
            <v>Not Applicable</v>
          </cell>
          <cell r="J159">
            <v>380000</v>
          </cell>
          <cell r="K159">
            <v>0</v>
          </cell>
          <cell r="L159">
            <v>90000</v>
          </cell>
          <cell r="M159">
            <v>0</v>
          </cell>
          <cell r="N159">
            <v>850000</v>
          </cell>
          <cell r="O159">
            <v>1320000</v>
          </cell>
        </row>
        <row r="160">
          <cell r="A160" t="str">
            <v>148</v>
          </cell>
          <cell r="B160" t="str">
            <v>WINDOWS-VIC</v>
          </cell>
          <cell r="C160" t="str">
            <v>Dowell Australia Ltd - Bayswater</v>
          </cell>
          <cell r="D160" t="str">
            <v>188 Canterbury Road</v>
          </cell>
          <cell r="E160" t="str">
            <v>Bayswater</v>
          </cell>
          <cell r="F160" t="str">
            <v>3153</v>
          </cell>
          <cell r="G160" t="str">
            <v>Victoria</v>
          </cell>
          <cell r="H160" t="str">
            <v>Australia</v>
          </cell>
          <cell r="I160" t="str">
            <v>Not Applicable</v>
          </cell>
          <cell r="J160">
            <v>2600000</v>
          </cell>
          <cell r="K160">
            <v>0</v>
          </cell>
          <cell r="L160">
            <v>5700000</v>
          </cell>
          <cell r="M160">
            <v>0</v>
          </cell>
          <cell r="N160">
            <v>2250000</v>
          </cell>
          <cell r="O160">
            <v>10550000</v>
          </cell>
        </row>
        <row r="161">
          <cell r="A161" t="str">
            <v>148</v>
          </cell>
          <cell r="B161" t="str">
            <v>WINDOWS-VIC</v>
          </cell>
          <cell r="C161" t="str">
            <v>Dowell Windows - Shepparton</v>
          </cell>
          <cell r="D161" t="str">
            <v>194-196 Numurkah Road</v>
          </cell>
          <cell r="E161" t="str">
            <v>Shepparton</v>
          </cell>
          <cell r="F161" t="str">
            <v>3630</v>
          </cell>
          <cell r="G161" t="str">
            <v>Victoria</v>
          </cell>
          <cell r="H161" t="str">
            <v>Australia</v>
          </cell>
          <cell r="I161" t="str">
            <v>Not Applicable</v>
          </cell>
          <cell r="J161">
            <v>800000</v>
          </cell>
          <cell r="K161">
            <v>0</v>
          </cell>
          <cell r="L161">
            <v>450000</v>
          </cell>
          <cell r="M161">
            <v>0</v>
          </cell>
          <cell r="N161">
            <v>800000</v>
          </cell>
          <cell r="O161">
            <v>2050000</v>
          </cell>
        </row>
        <row r="162">
          <cell r="A162" t="str">
            <v>148</v>
          </cell>
          <cell r="B162" t="str">
            <v>WINDOWS-VIC</v>
          </cell>
          <cell r="C162" t="str">
            <v>Dowell Windows - Wendouree Vic</v>
          </cell>
          <cell r="D162" t="str">
            <v>509 Dowling Street</v>
          </cell>
          <cell r="E162" t="str">
            <v>Wendouree</v>
          </cell>
          <cell r="F162" t="str">
            <v>3355</v>
          </cell>
          <cell r="G162" t="str">
            <v>Victoria</v>
          </cell>
          <cell r="H162" t="str">
            <v>Australia</v>
          </cell>
          <cell r="I162" t="str">
            <v>Not Applicable</v>
          </cell>
          <cell r="J162">
            <v>2000</v>
          </cell>
          <cell r="K162">
            <v>0</v>
          </cell>
          <cell r="L162">
            <v>15000</v>
          </cell>
          <cell r="M162">
            <v>0</v>
          </cell>
          <cell r="N162">
            <v>350000</v>
          </cell>
          <cell r="O162">
            <v>367000</v>
          </cell>
        </row>
        <row r="163">
          <cell r="A163" t="str">
            <v>152</v>
          </cell>
          <cell r="B163" t="str">
            <v>BORAL WINDOWS SYSTEMS LTD QLD/NT</v>
          </cell>
          <cell r="C163" t="str">
            <v>Boral Window Systems - Townsville</v>
          </cell>
          <cell r="D163" t="str">
            <v>14 Fleming Street</v>
          </cell>
          <cell r="E163" t="str">
            <v>Aitkenvale</v>
          </cell>
          <cell r="F163" t="str">
            <v>4814</v>
          </cell>
          <cell r="G163" t="str">
            <v>Queensland</v>
          </cell>
          <cell r="H163" t="str">
            <v>Australia</v>
          </cell>
          <cell r="I163" t="str">
            <v>Not Applicable</v>
          </cell>
          <cell r="J163">
            <v>650000</v>
          </cell>
          <cell r="K163">
            <v>0</v>
          </cell>
          <cell r="L163">
            <v>620000</v>
          </cell>
          <cell r="M163">
            <v>15000</v>
          </cell>
          <cell r="N163">
            <v>1350000</v>
          </cell>
          <cell r="O163">
            <v>2635000</v>
          </cell>
        </row>
        <row r="164">
          <cell r="A164" t="str">
            <v>152</v>
          </cell>
          <cell r="B164" t="str">
            <v>BORAL WINDOWS SYSTEMS LTD QLD/NT</v>
          </cell>
          <cell r="C164" t="str">
            <v>Boral Window Systems Administration</v>
          </cell>
          <cell r="D164" t="str">
            <v>167 Robinson Rd</v>
          </cell>
          <cell r="E164" t="str">
            <v>Geebung</v>
          </cell>
          <cell r="F164" t="str">
            <v>4034</v>
          </cell>
          <cell r="G164" t="str">
            <v>Queensland</v>
          </cell>
          <cell r="H164" t="str">
            <v>Australia</v>
          </cell>
          <cell r="I164" t="str">
            <v>Not Applicable</v>
          </cell>
          <cell r="J164">
            <v>0</v>
          </cell>
          <cell r="K164">
            <v>0</v>
          </cell>
          <cell r="L164">
            <v>550000</v>
          </cell>
          <cell r="M164">
            <v>0</v>
          </cell>
          <cell r="N164">
            <v>50000</v>
          </cell>
          <cell r="O164">
            <v>600000</v>
          </cell>
        </row>
        <row r="165">
          <cell r="A165" t="str">
            <v>152</v>
          </cell>
          <cell r="B165" t="str">
            <v>BORAL WINDOWS SYSTEMS LTD QLD/NT</v>
          </cell>
          <cell r="C165" t="str">
            <v>Boral Window Systems Fab Geebung</v>
          </cell>
          <cell r="D165" t="str">
            <v>167 Robinson Rd</v>
          </cell>
          <cell r="E165" t="str">
            <v>Geebung</v>
          </cell>
          <cell r="F165" t="str">
            <v>4034</v>
          </cell>
          <cell r="G165" t="str">
            <v>Queensland</v>
          </cell>
          <cell r="H165" t="str">
            <v>Australia</v>
          </cell>
          <cell r="I165" t="str">
            <v>Not Applicable</v>
          </cell>
          <cell r="J165">
            <v>1400000</v>
          </cell>
          <cell r="K165">
            <v>0</v>
          </cell>
          <cell r="L165">
            <v>1300000</v>
          </cell>
          <cell r="M165">
            <v>0</v>
          </cell>
          <cell r="N165">
            <v>7140000</v>
          </cell>
          <cell r="O165">
            <v>9840000</v>
          </cell>
        </row>
        <row r="166">
          <cell r="A166" t="str">
            <v>152</v>
          </cell>
          <cell r="B166" t="str">
            <v>BORAL WINDOWS SYSTEMS LTD QLD/NT</v>
          </cell>
          <cell r="C166" t="str">
            <v>Boral Window Systems South Coast</v>
          </cell>
          <cell r="D166" t="str">
            <v>Unit17/359 Southport/Nerang Rd</v>
          </cell>
          <cell r="E166" t="str">
            <v>Ashmore</v>
          </cell>
          <cell r="F166" t="str">
            <v>4214</v>
          </cell>
          <cell r="G166" t="str">
            <v>Queensland</v>
          </cell>
          <cell r="H166" t="str">
            <v>Australia</v>
          </cell>
          <cell r="I166" t="str">
            <v>Not Applicable</v>
          </cell>
          <cell r="J166">
            <v>10000</v>
          </cell>
          <cell r="K166">
            <v>0</v>
          </cell>
          <cell r="L166">
            <v>40000</v>
          </cell>
          <cell r="M166">
            <v>0</v>
          </cell>
          <cell r="N166">
            <v>100000</v>
          </cell>
          <cell r="O166">
            <v>150000</v>
          </cell>
        </row>
        <row r="167">
          <cell r="A167" t="str">
            <v>152</v>
          </cell>
          <cell r="B167" t="str">
            <v>BORAL WINDOWS SYSTEMS LTD QLD/NT</v>
          </cell>
          <cell r="C167" t="str">
            <v>Boral Windows - Cairns</v>
          </cell>
          <cell r="D167" t="str">
            <v>16-3 English Street</v>
          </cell>
          <cell r="E167" t="str">
            <v>Cairns</v>
          </cell>
          <cell r="F167" t="str">
            <v>4870</v>
          </cell>
          <cell r="G167" t="str">
            <v>Queensland</v>
          </cell>
          <cell r="H167" t="str">
            <v>Australia</v>
          </cell>
          <cell r="I167" t="str">
            <v>Not Applicable</v>
          </cell>
          <cell r="J167">
            <v>50000</v>
          </cell>
          <cell r="K167">
            <v>0</v>
          </cell>
          <cell r="L167">
            <v>50000</v>
          </cell>
          <cell r="M167">
            <v>0</v>
          </cell>
          <cell r="N167">
            <v>337500</v>
          </cell>
          <cell r="O167">
            <v>437500</v>
          </cell>
        </row>
        <row r="168">
          <cell r="A168" t="str">
            <v>152</v>
          </cell>
          <cell r="B168" t="str">
            <v>BORAL WINDOWS SYSTEMS LTD QLD/NT</v>
          </cell>
          <cell r="C168" t="str">
            <v>Boral Windows Systems Crane Nth Coast</v>
          </cell>
          <cell r="D168" t="str">
            <v>Kunda Park</v>
          </cell>
          <cell r="E168" t="str">
            <v>Maroochydore</v>
          </cell>
          <cell r="F168" t="str">
            <v>4558</v>
          </cell>
          <cell r="G168" t="str">
            <v>Queensland</v>
          </cell>
          <cell r="H168" t="str">
            <v>Australia</v>
          </cell>
          <cell r="I168" t="str">
            <v>Not Applicable</v>
          </cell>
          <cell r="J168">
            <v>10000</v>
          </cell>
          <cell r="K168">
            <v>0</v>
          </cell>
          <cell r="L168">
            <v>25000</v>
          </cell>
          <cell r="M168">
            <v>0</v>
          </cell>
          <cell r="N168">
            <v>100000</v>
          </cell>
          <cell r="O168">
            <v>135000</v>
          </cell>
        </row>
        <row r="169">
          <cell r="A169" t="str">
            <v>152</v>
          </cell>
          <cell r="B169" t="str">
            <v>BORAL WINDOWS SYSTEMS LTD QLD/NT</v>
          </cell>
          <cell r="C169" t="str">
            <v>Boral Windows Systems Crane Windows</v>
          </cell>
          <cell r="D169" t="str">
            <v>19 Mackie Way</v>
          </cell>
          <cell r="E169" t="str">
            <v>Brendale</v>
          </cell>
          <cell r="F169" t="str">
            <v>4500</v>
          </cell>
          <cell r="G169" t="str">
            <v>Queensland</v>
          </cell>
          <cell r="H169" t="str">
            <v>Australia</v>
          </cell>
          <cell r="I169" t="str">
            <v>Not Applicable</v>
          </cell>
          <cell r="J169">
            <v>950000</v>
          </cell>
          <cell r="K169">
            <v>0</v>
          </cell>
          <cell r="L169">
            <v>700000</v>
          </cell>
          <cell r="M169">
            <v>0</v>
          </cell>
          <cell r="N169">
            <v>4400000</v>
          </cell>
          <cell r="O169">
            <v>6050000</v>
          </cell>
        </row>
        <row r="170">
          <cell r="A170" t="str">
            <v>156</v>
          </cell>
          <cell r="B170" t="str">
            <v>WINDOWS-NSW-WUNDERLICH-PLASTIC</v>
          </cell>
          <cell r="C170" t="str">
            <v>Wunderlich Plastics</v>
          </cell>
          <cell r="D170" t="str">
            <v>Unit 6 171-175  Newton Road</v>
          </cell>
          <cell r="E170" t="str">
            <v>Wetherill Park</v>
          </cell>
          <cell r="F170" t="str">
            <v>2164</v>
          </cell>
          <cell r="G170" t="str">
            <v>New South Wales</v>
          </cell>
          <cell r="H170" t="str">
            <v>Australia</v>
          </cell>
          <cell r="I170" t="str">
            <v>Not Applicable</v>
          </cell>
          <cell r="J170">
            <v>350000</v>
          </cell>
          <cell r="K170">
            <v>0</v>
          </cell>
          <cell r="L170">
            <v>1000000</v>
          </cell>
          <cell r="M170">
            <v>20000</v>
          </cell>
          <cell r="N170">
            <v>250000</v>
          </cell>
          <cell r="O170">
            <v>1620000</v>
          </cell>
        </row>
        <row r="171">
          <cell r="A171" t="str">
            <v>158</v>
          </cell>
          <cell r="B171" t="str">
            <v>BORAL WINDOWS SYSTEMS ELIZABETH</v>
          </cell>
          <cell r="C171" t="str">
            <v>Boral Windows - Elizabeth</v>
          </cell>
          <cell r="D171" t="str">
            <v>Cnr Peachey &amp; Womma Roads</v>
          </cell>
          <cell r="E171" t="str">
            <v>Elizabeth West</v>
          </cell>
          <cell r="F171" t="str">
            <v>5113</v>
          </cell>
          <cell r="G171" t="str">
            <v>South Australia</v>
          </cell>
          <cell r="H171" t="str">
            <v>Australia</v>
          </cell>
          <cell r="I171" t="str">
            <v>Not Applicable</v>
          </cell>
          <cell r="J171">
            <v>2000000</v>
          </cell>
          <cell r="K171">
            <v>0</v>
          </cell>
          <cell r="L171">
            <v>1000000</v>
          </cell>
          <cell r="M171">
            <v>20000</v>
          </cell>
          <cell r="N171">
            <v>250000</v>
          </cell>
          <cell r="O171">
            <v>3270000</v>
          </cell>
        </row>
        <row r="172">
          <cell r="A172" t="str">
            <v>162</v>
          </cell>
          <cell r="B172" t="str">
            <v>WINDOWS-WA-BORAL</v>
          </cell>
          <cell r="C172" t="str">
            <v>Windows - WA</v>
          </cell>
          <cell r="E172" t="str">
            <v>Belmont</v>
          </cell>
          <cell r="F172" t="str">
            <v>6000</v>
          </cell>
          <cell r="G172" t="str">
            <v>Western Australia</v>
          </cell>
          <cell r="H172" t="str">
            <v>Australia</v>
          </cell>
          <cell r="I172" t="str">
            <v>Not Applicable</v>
          </cell>
          <cell r="J172">
            <v>1500000</v>
          </cell>
          <cell r="K172">
            <v>0</v>
          </cell>
          <cell r="L172">
            <v>2020077</v>
          </cell>
          <cell r="M172">
            <v>0</v>
          </cell>
          <cell r="N172">
            <v>16000000</v>
          </cell>
          <cell r="O172">
            <v>19520077</v>
          </cell>
        </row>
        <row r="173">
          <cell r="A173" t="str">
            <v>200</v>
          </cell>
          <cell r="B173" t="str">
            <v>BCM GROUP LTD</v>
          </cell>
          <cell r="C173" t="str">
            <v>Boral Construction Material Limited - Sydney</v>
          </cell>
          <cell r="D173" t="str">
            <v>50 Bridge Street</v>
          </cell>
          <cell r="E173" t="str">
            <v>Sydney</v>
          </cell>
          <cell r="F173" t="str">
            <v>2000</v>
          </cell>
          <cell r="G173" t="str">
            <v>New South Wales</v>
          </cell>
          <cell r="H173" t="str">
            <v>Australia</v>
          </cell>
          <cell r="I173" t="str">
            <v>Not Applicable</v>
          </cell>
          <cell r="J173">
            <v>0</v>
          </cell>
          <cell r="K173">
            <v>0</v>
          </cell>
          <cell r="L173">
            <v>0</v>
          </cell>
          <cell r="M173">
            <v>0</v>
          </cell>
          <cell r="N173">
            <v>0</v>
          </cell>
          <cell r="O173">
            <v>0</v>
          </cell>
        </row>
        <row r="174">
          <cell r="A174" t="str">
            <v>210</v>
          </cell>
          <cell r="B174" t="str">
            <v>CONCRETE VIC</v>
          </cell>
          <cell r="C174" t="str">
            <v>Albion Concrete Plant</v>
          </cell>
          <cell r="D174" t="str">
            <v>Ballarat Road</v>
          </cell>
          <cell r="E174" t="str">
            <v>Sunshine</v>
          </cell>
          <cell r="F174" t="str">
            <v>3020</v>
          </cell>
          <cell r="G174" t="str">
            <v>Victoria</v>
          </cell>
          <cell r="H174" t="str">
            <v>Australia</v>
          </cell>
          <cell r="I174" t="str">
            <v>Not Applicable</v>
          </cell>
          <cell r="J174">
            <v>56000</v>
          </cell>
          <cell r="K174">
            <v>82000</v>
          </cell>
          <cell r="L174">
            <v>1318000</v>
          </cell>
          <cell r="M174">
            <v>97000</v>
          </cell>
          <cell r="N174">
            <v>930000</v>
          </cell>
          <cell r="O174">
            <v>2483000</v>
          </cell>
        </row>
        <row r="175">
          <cell r="A175" t="str">
            <v>210</v>
          </cell>
          <cell r="B175" t="str">
            <v>CONCRETE VIC</v>
          </cell>
          <cell r="C175" t="str">
            <v>Bacchus Marsh Concrete Plant</v>
          </cell>
          <cell r="D175" t="str">
            <v>Park Street</v>
          </cell>
          <cell r="E175" t="str">
            <v>Bacchus Marsh</v>
          </cell>
          <cell r="F175" t="str">
            <v>3340</v>
          </cell>
          <cell r="G175" t="str">
            <v>Victoria</v>
          </cell>
          <cell r="H175" t="str">
            <v>Australia</v>
          </cell>
          <cell r="I175" t="str">
            <v>Not Applicable</v>
          </cell>
          <cell r="J175">
            <v>26000</v>
          </cell>
          <cell r="K175">
            <v>29000</v>
          </cell>
          <cell r="L175">
            <v>496000</v>
          </cell>
          <cell r="M175">
            <v>95000</v>
          </cell>
          <cell r="N175">
            <v>75000</v>
          </cell>
          <cell r="O175">
            <v>721000</v>
          </cell>
        </row>
        <row r="176">
          <cell r="A176" t="str">
            <v>210</v>
          </cell>
          <cell r="B176" t="str">
            <v>CONCRETE VIC</v>
          </cell>
          <cell r="C176" t="str">
            <v>Berwick Concrete Plant</v>
          </cell>
          <cell r="D176" t="str">
            <v>Lot 61  Intrepid Street</v>
          </cell>
          <cell r="E176" t="str">
            <v>Berwick</v>
          </cell>
          <cell r="F176" t="str">
            <v>3806</v>
          </cell>
          <cell r="G176" t="str">
            <v>Victoria</v>
          </cell>
          <cell r="H176" t="str">
            <v>Australia</v>
          </cell>
          <cell r="I176" t="str">
            <v>Not Applicable</v>
          </cell>
          <cell r="J176">
            <v>17000</v>
          </cell>
          <cell r="K176">
            <v>8000</v>
          </cell>
          <cell r="L176">
            <v>518000</v>
          </cell>
          <cell r="M176">
            <v>95000</v>
          </cell>
          <cell r="N176">
            <v>125000</v>
          </cell>
          <cell r="O176">
            <v>763000</v>
          </cell>
        </row>
        <row r="177">
          <cell r="A177" t="str">
            <v>210</v>
          </cell>
          <cell r="B177" t="str">
            <v>CONCRETE VIC</v>
          </cell>
          <cell r="C177" t="str">
            <v>Boral House - Metro Concrete</v>
          </cell>
          <cell r="D177" t="str">
            <v>1 Glenferrie Road</v>
          </cell>
          <cell r="E177" t="str">
            <v>Malvern</v>
          </cell>
          <cell r="F177" t="str">
            <v>3144</v>
          </cell>
          <cell r="G177" t="str">
            <v>Victoria</v>
          </cell>
          <cell r="H177" t="str">
            <v>Australia</v>
          </cell>
          <cell r="I177" t="str">
            <v>Not Applicable</v>
          </cell>
          <cell r="J177">
            <v>0</v>
          </cell>
          <cell r="K177">
            <v>0</v>
          </cell>
          <cell r="L177">
            <v>300000</v>
          </cell>
          <cell r="M177">
            <v>0</v>
          </cell>
          <cell r="N177">
            <v>0</v>
          </cell>
          <cell r="O177">
            <v>300000</v>
          </cell>
        </row>
        <row r="178">
          <cell r="A178" t="str">
            <v>210</v>
          </cell>
          <cell r="B178" t="str">
            <v>CONCRETE VIC</v>
          </cell>
          <cell r="C178" t="str">
            <v>Bundoora Concrete Plant</v>
          </cell>
          <cell r="D178" t="str">
            <v>McKimmies Lane</v>
          </cell>
          <cell r="E178" t="str">
            <v>Bundoora</v>
          </cell>
          <cell r="F178" t="str">
            <v>3085</v>
          </cell>
          <cell r="G178" t="str">
            <v>Victoria</v>
          </cell>
          <cell r="H178" t="str">
            <v>Australia</v>
          </cell>
          <cell r="I178" t="str">
            <v>Not Applicable</v>
          </cell>
          <cell r="J178">
            <v>41000</v>
          </cell>
          <cell r="K178">
            <v>57000</v>
          </cell>
          <cell r="L178">
            <v>1195000</v>
          </cell>
          <cell r="M178">
            <v>95000</v>
          </cell>
          <cell r="N178">
            <v>445000</v>
          </cell>
          <cell r="O178">
            <v>1833000</v>
          </cell>
        </row>
        <row r="179">
          <cell r="A179" t="str">
            <v>210</v>
          </cell>
          <cell r="B179" t="str">
            <v>CONCRETE VIC</v>
          </cell>
          <cell r="C179" t="str">
            <v>Clayton Concrete Plant</v>
          </cell>
          <cell r="D179" t="str">
            <v>Clayton Road</v>
          </cell>
          <cell r="E179" t="str">
            <v>Clayton</v>
          </cell>
          <cell r="F179" t="str">
            <v>3168</v>
          </cell>
          <cell r="G179" t="str">
            <v>Victoria</v>
          </cell>
          <cell r="H179" t="str">
            <v>Australia</v>
          </cell>
          <cell r="I179" t="str">
            <v>Not Applicable</v>
          </cell>
          <cell r="J179">
            <v>71000</v>
          </cell>
          <cell r="K179">
            <v>105000</v>
          </cell>
          <cell r="L179">
            <v>2696000</v>
          </cell>
          <cell r="M179">
            <v>95000</v>
          </cell>
          <cell r="N179">
            <v>1110000</v>
          </cell>
          <cell r="O179">
            <v>4077000</v>
          </cell>
        </row>
        <row r="180">
          <cell r="A180" t="str">
            <v>210</v>
          </cell>
          <cell r="B180" t="str">
            <v>CONCRETE VIC</v>
          </cell>
          <cell r="C180" t="str">
            <v>Dandenong Concrete Plant</v>
          </cell>
          <cell r="D180" t="str">
            <v>Claredale Road</v>
          </cell>
          <cell r="E180" t="str">
            <v>Dandenong</v>
          </cell>
          <cell r="F180" t="str">
            <v>3175</v>
          </cell>
          <cell r="G180" t="str">
            <v>Victoria</v>
          </cell>
          <cell r="H180" t="str">
            <v>Australia</v>
          </cell>
          <cell r="I180" t="str">
            <v>Not Applicable</v>
          </cell>
          <cell r="J180">
            <v>25000</v>
          </cell>
          <cell r="K180">
            <v>75000</v>
          </cell>
          <cell r="L180">
            <v>742000</v>
          </cell>
          <cell r="M180">
            <v>95000</v>
          </cell>
          <cell r="N180">
            <v>475000</v>
          </cell>
          <cell r="O180">
            <v>1412000</v>
          </cell>
        </row>
        <row r="181">
          <cell r="A181" t="str">
            <v>210</v>
          </cell>
          <cell r="B181" t="str">
            <v>CONCRETE VIC</v>
          </cell>
          <cell r="C181" t="str">
            <v>Deer Park Concrete</v>
          </cell>
          <cell r="D181" t="str">
            <v>Riding Boundary Road</v>
          </cell>
          <cell r="E181" t="str">
            <v>Deer Park</v>
          </cell>
          <cell r="G181" t="str">
            <v>Victoria</v>
          </cell>
          <cell r="H181" t="str">
            <v>Australia</v>
          </cell>
          <cell r="I181" t="str">
            <v>Not Applicable</v>
          </cell>
          <cell r="J181">
            <v>21000</v>
          </cell>
          <cell r="K181">
            <v>60000</v>
          </cell>
          <cell r="L181">
            <v>2000000</v>
          </cell>
          <cell r="M181">
            <v>0</v>
          </cell>
          <cell r="N181">
            <v>400000</v>
          </cell>
          <cell r="O181">
            <v>2481000</v>
          </cell>
        </row>
        <row r="182">
          <cell r="A182" t="str">
            <v>210</v>
          </cell>
          <cell r="B182" t="str">
            <v>CONCRETE VIC</v>
          </cell>
          <cell r="C182" t="str">
            <v>Healesville Concrete Plant</v>
          </cell>
          <cell r="D182" t="str">
            <v>Railway Parade</v>
          </cell>
          <cell r="E182" t="str">
            <v>Healesville</v>
          </cell>
          <cell r="F182" t="str">
            <v>3777</v>
          </cell>
          <cell r="G182" t="str">
            <v>Victoria</v>
          </cell>
          <cell r="H182" t="str">
            <v>Australia</v>
          </cell>
          <cell r="I182" t="str">
            <v>Not Applicable</v>
          </cell>
          <cell r="J182">
            <v>17000</v>
          </cell>
          <cell r="K182">
            <v>12000</v>
          </cell>
          <cell r="L182">
            <v>276000</v>
          </cell>
          <cell r="M182">
            <v>95000</v>
          </cell>
          <cell r="N182">
            <v>87000</v>
          </cell>
          <cell r="O182">
            <v>487000</v>
          </cell>
        </row>
        <row r="183">
          <cell r="A183" t="str">
            <v>210</v>
          </cell>
          <cell r="B183" t="str">
            <v>CONCRETE VIC</v>
          </cell>
          <cell r="C183" t="str">
            <v>Keilor Concrete Plant</v>
          </cell>
          <cell r="D183" t="str">
            <v>Tullamarine Park Drive</v>
          </cell>
          <cell r="E183" t="str">
            <v>Tullamarine</v>
          </cell>
          <cell r="F183" t="str">
            <v>3043</v>
          </cell>
          <cell r="G183" t="str">
            <v>Victoria</v>
          </cell>
          <cell r="H183" t="str">
            <v>Australia</v>
          </cell>
          <cell r="I183" t="str">
            <v>Not Applicable</v>
          </cell>
          <cell r="J183">
            <v>29000</v>
          </cell>
          <cell r="K183">
            <v>18000</v>
          </cell>
          <cell r="L183">
            <v>421000</v>
          </cell>
          <cell r="M183">
            <v>95000</v>
          </cell>
          <cell r="N183">
            <v>460000</v>
          </cell>
          <cell r="O183">
            <v>1023000</v>
          </cell>
        </row>
        <row r="184">
          <cell r="A184" t="str">
            <v>210</v>
          </cell>
          <cell r="B184" t="str">
            <v>CONCRETE VIC</v>
          </cell>
          <cell r="C184" t="str">
            <v>Montrose Concrete Plant</v>
          </cell>
          <cell r="D184" t="str">
            <v>Fussell Road</v>
          </cell>
          <cell r="E184" t="str">
            <v>Montrose</v>
          </cell>
          <cell r="F184" t="str">
            <v>3765</v>
          </cell>
          <cell r="G184" t="str">
            <v>Victoria</v>
          </cell>
          <cell r="H184" t="str">
            <v>Australia</v>
          </cell>
          <cell r="I184" t="str">
            <v>Not Applicable</v>
          </cell>
          <cell r="J184">
            <v>30000</v>
          </cell>
          <cell r="K184">
            <v>0</v>
          </cell>
          <cell r="L184">
            <v>570000</v>
          </cell>
          <cell r="M184">
            <v>0</v>
          </cell>
          <cell r="N184">
            <v>406000</v>
          </cell>
          <cell r="O184">
            <v>1006000</v>
          </cell>
        </row>
        <row r="185">
          <cell r="A185" t="str">
            <v>210</v>
          </cell>
          <cell r="B185" t="str">
            <v>CONCRETE VIC</v>
          </cell>
          <cell r="C185" t="str">
            <v>North Melbourne Concrete Plant</v>
          </cell>
          <cell r="D185" t="str">
            <v>Laurens Street</v>
          </cell>
          <cell r="E185" t="str">
            <v>North Melbourne</v>
          </cell>
          <cell r="F185" t="str">
            <v>3051</v>
          </cell>
          <cell r="G185" t="str">
            <v>Victoria</v>
          </cell>
          <cell r="H185" t="str">
            <v>Australia</v>
          </cell>
          <cell r="I185" t="str">
            <v>Not Applicable</v>
          </cell>
          <cell r="J185">
            <v>82000</v>
          </cell>
          <cell r="K185">
            <v>570000</v>
          </cell>
          <cell r="L185">
            <v>4105000</v>
          </cell>
          <cell r="M185">
            <v>190000</v>
          </cell>
          <cell r="N185">
            <v>1976000</v>
          </cell>
          <cell r="O185">
            <v>6923000</v>
          </cell>
        </row>
        <row r="186">
          <cell r="A186" t="str">
            <v>210</v>
          </cell>
          <cell r="B186" t="str">
            <v>CONCRETE VIC</v>
          </cell>
          <cell r="C186" t="str">
            <v>Nunawading Concrete Plant</v>
          </cell>
          <cell r="D186" t="str">
            <v>Varman Court</v>
          </cell>
          <cell r="E186" t="str">
            <v>Nunawading</v>
          </cell>
          <cell r="F186" t="str">
            <v>3131</v>
          </cell>
          <cell r="G186" t="str">
            <v>Victoria</v>
          </cell>
          <cell r="H186" t="str">
            <v>Australia</v>
          </cell>
          <cell r="I186" t="str">
            <v>Not Applicable</v>
          </cell>
          <cell r="J186">
            <v>48000</v>
          </cell>
          <cell r="K186">
            <v>32000</v>
          </cell>
          <cell r="L186">
            <v>574000</v>
          </cell>
          <cell r="M186">
            <v>95000</v>
          </cell>
          <cell r="N186">
            <v>419000</v>
          </cell>
          <cell r="O186">
            <v>1168000</v>
          </cell>
        </row>
        <row r="187">
          <cell r="A187" t="str">
            <v>210</v>
          </cell>
          <cell r="B187" t="str">
            <v>CONCRETE VIC</v>
          </cell>
          <cell r="C187" t="str">
            <v>Rockbank Concrete Plant</v>
          </cell>
          <cell r="D187" t="str">
            <v>Leakes Road</v>
          </cell>
          <cell r="E187" t="str">
            <v>Rockbank</v>
          </cell>
          <cell r="F187" t="str">
            <v>3335</v>
          </cell>
          <cell r="G187" t="str">
            <v>Victoria</v>
          </cell>
          <cell r="H187" t="str">
            <v>Australia</v>
          </cell>
          <cell r="I187" t="str">
            <v>Not Applicable</v>
          </cell>
          <cell r="J187">
            <v>36000</v>
          </cell>
          <cell r="K187">
            <v>13000</v>
          </cell>
          <cell r="L187">
            <v>552000</v>
          </cell>
          <cell r="M187">
            <v>95000</v>
          </cell>
          <cell r="N187">
            <v>178000</v>
          </cell>
          <cell r="O187">
            <v>874000</v>
          </cell>
        </row>
        <row r="188">
          <cell r="A188" t="str">
            <v>210</v>
          </cell>
          <cell r="B188" t="str">
            <v>CONCRETE VIC</v>
          </cell>
          <cell r="C188" t="str">
            <v>Rowville Concrete Plant</v>
          </cell>
          <cell r="D188" t="str">
            <v>Wellington Road</v>
          </cell>
          <cell r="E188" t="str">
            <v>Rowville</v>
          </cell>
          <cell r="F188" t="str">
            <v>3178</v>
          </cell>
          <cell r="G188" t="str">
            <v>Victoria</v>
          </cell>
          <cell r="H188" t="str">
            <v>Australia</v>
          </cell>
          <cell r="I188" t="str">
            <v>Not Applicable</v>
          </cell>
          <cell r="J188">
            <v>26000</v>
          </cell>
          <cell r="K188">
            <v>0</v>
          </cell>
          <cell r="L188">
            <v>486000</v>
          </cell>
          <cell r="M188">
            <v>0</v>
          </cell>
          <cell r="N188">
            <v>259000</v>
          </cell>
          <cell r="O188">
            <v>771000</v>
          </cell>
        </row>
        <row r="189">
          <cell r="A189" t="str">
            <v>210</v>
          </cell>
          <cell r="B189" t="str">
            <v>CONCRETE VIC</v>
          </cell>
          <cell r="C189" t="str">
            <v>Somerton Concrete</v>
          </cell>
          <cell r="E189" t="str">
            <v>Somerton</v>
          </cell>
          <cell r="G189" t="str">
            <v>Victoria</v>
          </cell>
          <cell r="H189" t="str">
            <v>Australia</v>
          </cell>
          <cell r="I189" t="str">
            <v>Not Applicable</v>
          </cell>
          <cell r="J189">
            <v>29000</v>
          </cell>
          <cell r="K189">
            <v>8000</v>
          </cell>
          <cell r="L189">
            <v>518000</v>
          </cell>
          <cell r="M189">
            <v>95000</v>
          </cell>
          <cell r="N189">
            <v>125000</v>
          </cell>
          <cell r="O189">
            <v>775000</v>
          </cell>
        </row>
        <row r="190">
          <cell r="A190" t="str">
            <v>210</v>
          </cell>
          <cell r="B190" t="str">
            <v>CONCRETE VIC</v>
          </cell>
          <cell r="C190" t="str">
            <v>Thornbury Testing Laboratory</v>
          </cell>
          <cell r="D190" t="str">
            <v>23 Anderson Road</v>
          </cell>
          <cell r="E190" t="str">
            <v>Thornbury</v>
          </cell>
          <cell r="F190" t="str">
            <v>3071</v>
          </cell>
          <cell r="G190" t="str">
            <v>Victoria</v>
          </cell>
          <cell r="H190" t="str">
            <v>Australia</v>
          </cell>
          <cell r="I190" t="str">
            <v>Not Applicable</v>
          </cell>
          <cell r="J190">
            <v>0</v>
          </cell>
          <cell r="K190">
            <v>155000</v>
          </cell>
          <cell r="L190">
            <v>90000</v>
          </cell>
          <cell r="M190">
            <v>0</v>
          </cell>
          <cell r="N190">
            <v>0</v>
          </cell>
          <cell r="O190">
            <v>245000</v>
          </cell>
        </row>
        <row r="191">
          <cell r="A191" t="str">
            <v>210</v>
          </cell>
          <cell r="B191" t="str">
            <v>CONCRETE VIC</v>
          </cell>
          <cell r="C191" t="str">
            <v>Woori Yallock Concrete Plant</v>
          </cell>
          <cell r="D191" t="str">
            <v>Nester Road</v>
          </cell>
          <cell r="E191" t="str">
            <v>Woori Yallock</v>
          </cell>
          <cell r="F191" t="str">
            <v>3139</v>
          </cell>
          <cell r="G191" t="str">
            <v>Victoria</v>
          </cell>
          <cell r="H191" t="str">
            <v>Australia</v>
          </cell>
          <cell r="I191" t="str">
            <v>Not Applicable</v>
          </cell>
          <cell r="J191">
            <v>19000</v>
          </cell>
          <cell r="K191">
            <v>24000</v>
          </cell>
          <cell r="L191">
            <v>152000</v>
          </cell>
          <cell r="M191">
            <v>95000</v>
          </cell>
          <cell r="N191">
            <v>87000</v>
          </cell>
          <cell r="O191">
            <v>377000</v>
          </cell>
        </row>
        <row r="192">
          <cell r="A192" t="str">
            <v>211</v>
          </cell>
          <cell r="B192" t="str">
            <v>QUARRY VIC</v>
          </cell>
          <cell r="C192" t="str">
            <v>Bacchus Marsh Western - CMG Quarries</v>
          </cell>
          <cell r="D192" t="str">
            <v>Bornievale Rd</v>
          </cell>
          <cell r="E192" t="str">
            <v>Bacchus Marsh</v>
          </cell>
          <cell r="F192" t="str">
            <v>3340</v>
          </cell>
          <cell r="G192" t="str">
            <v>Victoria</v>
          </cell>
          <cell r="H192" t="str">
            <v>Australia</v>
          </cell>
          <cell r="I192" t="str">
            <v>Not Applicable</v>
          </cell>
          <cell r="J192">
            <v>400000</v>
          </cell>
          <cell r="K192">
            <v>250000</v>
          </cell>
          <cell r="L192">
            <v>12000000</v>
          </cell>
          <cell r="M192">
            <v>100000</v>
          </cell>
          <cell r="N192">
            <v>3200000</v>
          </cell>
          <cell r="O192">
            <v>15950000</v>
          </cell>
        </row>
        <row r="193">
          <cell r="A193" t="str">
            <v>211</v>
          </cell>
          <cell r="B193" t="str">
            <v>QUARRY VIC</v>
          </cell>
          <cell r="C193" t="str">
            <v>Coldstream Quarry</v>
          </cell>
          <cell r="D193" t="str">
            <v>527-533  Quarry Rd</v>
          </cell>
          <cell r="E193" t="str">
            <v>Coldstream</v>
          </cell>
          <cell r="F193" t="str">
            <v>3140</v>
          </cell>
          <cell r="G193" t="str">
            <v>Victoria</v>
          </cell>
          <cell r="H193" t="str">
            <v>Australia</v>
          </cell>
          <cell r="I193" t="str">
            <v>Not Applicable</v>
          </cell>
          <cell r="J193">
            <v>150000</v>
          </cell>
          <cell r="K193">
            <v>100000</v>
          </cell>
          <cell r="L193">
            <v>25000</v>
          </cell>
          <cell r="M193">
            <v>300000</v>
          </cell>
          <cell r="N193">
            <v>250000</v>
          </cell>
          <cell r="O193">
            <v>825000</v>
          </cell>
        </row>
        <row r="194">
          <cell r="A194" t="str">
            <v>211</v>
          </cell>
          <cell r="B194" t="str">
            <v>QUARRY VIC</v>
          </cell>
          <cell r="C194" t="str">
            <v>Dandenong Quarry</v>
          </cell>
          <cell r="D194" t="str">
            <v>Wellington Rd</v>
          </cell>
          <cell r="E194" t="str">
            <v>Lysterfield</v>
          </cell>
          <cell r="F194" t="str">
            <v>3156</v>
          </cell>
          <cell r="G194" t="str">
            <v>Victoria</v>
          </cell>
          <cell r="H194" t="str">
            <v>Australia</v>
          </cell>
          <cell r="I194" t="str">
            <v>Not Applicable</v>
          </cell>
          <cell r="J194">
            <v>950000</v>
          </cell>
          <cell r="K194">
            <v>400000</v>
          </cell>
          <cell r="L194">
            <v>10000000</v>
          </cell>
          <cell r="M194">
            <v>3000000</v>
          </cell>
          <cell r="N194">
            <v>2000000</v>
          </cell>
          <cell r="O194">
            <v>16350000</v>
          </cell>
        </row>
        <row r="195">
          <cell r="A195" t="str">
            <v>211</v>
          </cell>
          <cell r="B195" t="str">
            <v>QUARRY VIC</v>
          </cell>
          <cell r="C195" t="str">
            <v>Deer Park Quarry</v>
          </cell>
          <cell r="D195" t="str">
            <v>Riding Bondry Rd</v>
          </cell>
          <cell r="E195" t="str">
            <v>Deer Park</v>
          </cell>
          <cell r="F195" t="str">
            <v>3023</v>
          </cell>
          <cell r="G195" t="str">
            <v>Victoria</v>
          </cell>
          <cell r="H195" t="str">
            <v>Australia</v>
          </cell>
          <cell r="I195" t="str">
            <v>Not Applicable</v>
          </cell>
          <cell r="J195">
            <v>2000000</v>
          </cell>
          <cell r="K195">
            <v>600000</v>
          </cell>
          <cell r="L195">
            <v>30000000</v>
          </cell>
          <cell r="M195">
            <v>5500000</v>
          </cell>
          <cell r="N195">
            <v>9000000</v>
          </cell>
          <cell r="O195">
            <v>47100000</v>
          </cell>
        </row>
        <row r="196">
          <cell r="A196" t="str">
            <v>211</v>
          </cell>
          <cell r="B196" t="str">
            <v>QUARRY VIC</v>
          </cell>
          <cell r="C196" t="str">
            <v>Montrose Lab - Concrete Vic.</v>
          </cell>
          <cell r="D196" t="str">
            <v>Fussell Rd</v>
          </cell>
          <cell r="E196" t="str">
            <v>Montrose</v>
          </cell>
          <cell r="F196" t="str">
            <v>3765</v>
          </cell>
          <cell r="G196" t="str">
            <v>Victoria</v>
          </cell>
          <cell r="H196" t="str">
            <v>Australia</v>
          </cell>
          <cell r="I196" t="str">
            <v>Not Applicable</v>
          </cell>
          <cell r="J196">
            <v>0</v>
          </cell>
          <cell r="K196">
            <v>0</v>
          </cell>
          <cell r="L196">
            <v>0</v>
          </cell>
          <cell r="M196">
            <v>0</v>
          </cell>
          <cell r="N196">
            <v>0</v>
          </cell>
          <cell r="O196">
            <v>0</v>
          </cell>
        </row>
        <row r="197">
          <cell r="A197" t="str">
            <v>211</v>
          </cell>
          <cell r="B197" t="str">
            <v>QUARRY VIC</v>
          </cell>
          <cell r="C197" t="str">
            <v>Montrose Quarry</v>
          </cell>
          <cell r="D197" t="str">
            <v>Canterbury Road</v>
          </cell>
          <cell r="E197" t="str">
            <v>Montrose</v>
          </cell>
          <cell r="F197" t="str">
            <v>3765</v>
          </cell>
          <cell r="G197" t="str">
            <v>Victoria</v>
          </cell>
          <cell r="H197" t="str">
            <v>Australia</v>
          </cell>
          <cell r="I197" t="str">
            <v>Not Applicable</v>
          </cell>
          <cell r="J197">
            <v>2500000</v>
          </cell>
          <cell r="K197">
            <v>700000</v>
          </cell>
          <cell r="L197">
            <v>35000000</v>
          </cell>
          <cell r="M197">
            <v>6000000</v>
          </cell>
          <cell r="N197">
            <v>7600000</v>
          </cell>
          <cell r="O197">
            <v>51800000</v>
          </cell>
        </row>
        <row r="198">
          <cell r="A198" t="str">
            <v>211</v>
          </cell>
          <cell r="B198" t="str">
            <v>QUARRY VIC</v>
          </cell>
          <cell r="C198" t="str">
            <v>Wollert Quarry - Quarries Metro Vic</v>
          </cell>
          <cell r="D198" t="str">
            <v>Findon Rd</v>
          </cell>
          <cell r="E198" t="str">
            <v>Epping</v>
          </cell>
          <cell r="F198" t="str">
            <v>3076</v>
          </cell>
          <cell r="G198" t="str">
            <v>Victoria</v>
          </cell>
          <cell r="H198" t="str">
            <v>Australia</v>
          </cell>
          <cell r="I198" t="str">
            <v>Not Applicable</v>
          </cell>
          <cell r="J198">
            <v>700000</v>
          </cell>
          <cell r="K198">
            <v>300000</v>
          </cell>
          <cell r="L198">
            <v>12500000</v>
          </cell>
          <cell r="M198">
            <v>1500000</v>
          </cell>
          <cell r="N198">
            <v>3000000</v>
          </cell>
          <cell r="O198">
            <v>18000000</v>
          </cell>
        </row>
        <row r="199">
          <cell r="A199" t="str">
            <v>212</v>
          </cell>
          <cell r="B199" t="str">
            <v>COUNTRY CONCRETE VIC</v>
          </cell>
          <cell r="C199" t="str">
            <v>Ballarat Concrete</v>
          </cell>
          <cell r="D199" t="str">
            <v>Learmonth Street</v>
          </cell>
          <cell r="E199" t="str">
            <v>Ballarat</v>
          </cell>
          <cell r="F199" t="str">
            <v>3350</v>
          </cell>
          <cell r="G199" t="str">
            <v>Victoria</v>
          </cell>
          <cell r="H199" t="str">
            <v>Australia</v>
          </cell>
          <cell r="I199" t="str">
            <v>Not Applicable</v>
          </cell>
          <cell r="J199">
            <v>40000</v>
          </cell>
          <cell r="K199">
            <v>80000</v>
          </cell>
          <cell r="L199">
            <v>250000</v>
          </cell>
          <cell r="M199">
            <v>120000</v>
          </cell>
          <cell r="N199">
            <v>100000</v>
          </cell>
          <cell r="O199">
            <v>590000</v>
          </cell>
        </row>
        <row r="200">
          <cell r="A200" t="str">
            <v>212</v>
          </cell>
          <cell r="B200" t="str">
            <v>COUNTRY CONCRETE VIC</v>
          </cell>
          <cell r="C200" t="str">
            <v>Ballarat Office</v>
          </cell>
          <cell r="D200" t="str">
            <v>1220 Sturt Street</v>
          </cell>
          <cell r="E200" t="str">
            <v>Ballarat</v>
          </cell>
          <cell r="F200" t="str">
            <v>3350</v>
          </cell>
          <cell r="G200" t="str">
            <v>Victoria</v>
          </cell>
          <cell r="H200" t="str">
            <v>Australia</v>
          </cell>
          <cell r="I200" t="str">
            <v>Not Applicable</v>
          </cell>
          <cell r="J200">
            <v>0</v>
          </cell>
          <cell r="K200">
            <v>0</v>
          </cell>
          <cell r="L200">
            <v>0</v>
          </cell>
          <cell r="M200">
            <v>0</v>
          </cell>
          <cell r="N200">
            <v>50000</v>
          </cell>
          <cell r="O200">
            <v>50000</v>
          </cell>
        </row>
        <row r="201">
          <cell r="A201" t="str">
            <v>212</v>
          </cell>
          <cell r="B201" t="str">
            <v>COUNTRY CONCRETE VIC</v>
          </cell>
          <cell r="C201" t="str">
            <v>Bendigo Concrete</v>
          </cell>
          <cell r="D201" t="str">
            <v>Strickland Road</v>
          </cell>
          <cell r="E201" t="str">
            <v>Bendigo</v>
          </cell>
          <cell r="F201" t="str">
            <v>3550</v>
          </cell>
          <cell r="G201" t="str">
            <v>Victoria</v>
          </cell>
          <cell r="H201" t="str">
            <v>Australia</v>
          </cell>
          <cell r="I201" t="str">
            <v>Not Applicable</v>
          </cell>
          <cell r="J201">
            <v>40000</v>
          </cell>
          <cell r="K201">
            <v>80000</v>
          </cell>
          <cell r="L201">
            <v>250000</v>
          </cell>
          <cell r="M201">
            <v>100000</v>
          </cell>
          <cell r="N201">
            <v>100000</v>
          </cell>
          <cell r="O201">
            <v>570000</v>
          </cell>
        </row>
        <row r="202">
          <cell r="A202" t="str">
            <v>212</v>
          </cell>
          <cell r="B202" t="str">
            <v>COUNTRY CONCRETE VIC</v>
          </cell>
          <cell r="C202" t="str">
            <v>Charlton Concrete</v>
          </cell>
          <cell r="D202" t="str">
            <v>Calder Highway</v>
          </cell>
          <cell r="E202" t="str">
            <v>Charlton</v>
          </cell>
          <cell r="F202" t="str">
            <v>3525</v>
          </cell>
          <cell r="G202" t="str">
            <v>Victoria</v>
          </cell>
          <cell r="H202" t="str">
            <v>Australia</v>
          </cell>
          <cell r="I202" t="str">
            <v>Not Applicable</v>
          </cell>
          <cell r="J202">
            <v>10000</v>
          </cell>
          <cell r="K202">
            <v>10000</v>
          </cell>
          <cell r="L202">
            <v>80000</v>
          </cell>
          <cell r="M202">
            <v>5000</v>
          </cell>
          <cell r="N202">
            <v>50000</v>
          </cell>
          <cell r="O202">
            <v>155000</v>
          </cell>
        </row>
        <row r="203">
          <cell r="A203" t="str">
            <v>212</v>
          </cell>
          <cell r="B203" t="str">
            <v>COUNTRY CONCRETE VIC</v>
          </cell>
          <cell r="C203" t="str">
            <v>Cobram Concrete</v>
          </cell>
          <cell r="D203" t="str">
            <v>Cnr Karook Rd &amp; Hamilton Lane</v>
          </cell>
          <cell r="E203" t="str">
            <v>Cobram</v>
          </cell>
          <cell r="F203" t="str">
            <v>3644</v>
          </cell>
          <cell r="G203" t="str">
            <v>Victoria</v>
          </cell>
          <cell r="H203" t="str">
            <v>Australia</v>
          </cell>
          <cell r="I203" t="str">
            <v>Not Applicable</v>
          </cell>
          <cell r="J203">
            <v>40000</v>
          </cell>
          <cell r="K203">
            <v>80000</v>
          </cell>
          <cell r="L203">
            <v>250000</v>
          </cell>
          <cell r="M203">
            <v>120000</v>
          </cell>
          <cell r="N203">
            <v>100000</v>
          </cell>
          <cell r="O203">
            <v>590000</v>
          </cell>
        </row>
        <row r="204">
          <cell r="A204" t="str">
            <v>212</v>
          </cell>
          <cell r="B204" t="str">
            <v>COUNTRY CONCRETE VIC</v>
          </cell>
          <cell r="C204" t="str">
            <v>Daylesford Concrete</v>
          </cell>
          <cell r="D204" t="str">
            <v>6 Raglan Street</v>
          </cell>
          <cell r="E204" t="str">
            <v>Daylesford</v>
          </cell>
          <cell r="F204" t="str">
            <v>3460</v>
          </cell>
          <cell r="G204" t="str">
            <v>Victoria</v>
          </cell>
          <cell r="H204" t="str">
            <v>Australia</v>
          </cell>
          <cell r="I204" t="str">
            <v>Not Applicable</v>
          </cell>
          <cell r="J204">
            <v>10000</v>
          </cell>
          <cell r="K204">
            <v>10000</v>
          </cell>
          <cell r="L204">
            <v>80000</v>
          </cell>
          <cell r="M204">
            <v>15000</v>
          </cell>
          <cell r="N204">
            <v>50000</v>
          </cell>
          <cell r="O204">
            <v>165000</v>
          </cell>
        </row>
        <row r="205">
          <cell r="A205" t="str">
            <v>212</v>
          </cell>
          <cell r="B205" t="str">
            <v>COUNTRY CONCRETE VIC</v>
          </cell>
          <cell r="C205" t="str">
            <v>Finley Concrete</v>
          </cell>
          <cell r="D205" t="str">
            <v>Cnr Well And Howe Streets</v>
          </cell>
          <cell r="E205" t="str">
            <v>Finley</v>
          </cell>
          <cell r="F205" t="str">
            <v>2713</v>
          </cell>
          <cell r="G205" t="str">
            <v>New South Wales</v>
          </cell>
          <cell r="H205" t="str">
            <v>Australia</v>
          </cell>
          <cell r="I205" t="str">
            <v>Not Applicable</v>
          </cell>
          <cell r="J205">
            <v>10000</v>
          </cell>
          <cell r="K205">
            <v>10000</v>
          </cell>
          <cell r="L205">
            <v>150000</v>
          </cell>
          <cell r="M205">
            <v>10000</v>
          </cell>
          <cell r="N205">
            <v>50000</v>
          </cell>
          <cell r="O205">
            <v>230000</v>
          </cell>
        </row>
        <row r="206">
          <cell r="A206" t="str">
            <v>212</v>
          </cell>
          <cell r="B206" t="str">
            <v>COUNTRY CONCRETE VIC</v>
          </cell>
          <cell r="C206" t="str">
            <v>Holbrook Concrete</v>
          </cell>
          <cell r="D206" t="str">
            <v>Cnr Bond &amp; Bath Streets</v>
          </cell>
          <cell r="E206" t="str">
            <v>Holbrook</v>
          </cell>
          <cell r="F206" t="str">
            <v>2644</v>
          </cell>
          <cell r="G206" t="str">
            <v>New South Wales</v>
          </cell>
          <cell r="H206" t="str">
            <v>Australia</v>
          </cell>
          <cell r="I206" t="str">
            <v>Not Applicable</v>
          </cell>
          <cell r="J206">
            <v>10000</v>
          </cell>
          <cell r="K206">
            <v>10000</v>
          </cell>
          <cell r="L206">
            <v>50000</v>
          </cell>
          <cell r="M206">
            <v>10000</v>
          </cell>
          <cell r="N206">
            <v>50000</v>
          </cell>
          <cell r="O206">
            <v>130000</v>
          </cell>
        </row>
        <row r="207">
          <cell r="A207" t="str">
            <v>212</v>
          </cell>
          <cell r="B207" t="str">
            <v>COUNTRY CONCRETE VIC</v>
          </cell>
          <cell r="C207" t="str">
            <v>Howlong Concrete</v>
          </cell>
          <cell r="D207" t="str">
            <v>Jude Street</v>
          </cell>
          <cell r="E207" t="str">
            <v>Howlong</v>
          </cell>
          <cell r="F207" t="str">
            <v>2643</v>
          </cell>
          <cell r="G207" t="str">
            <v>New South Wales</v>
          </cell>
          <cell r="H207" t="str">
            <v>Australia</v>
          </cell>
          <cell r="I207" t="str">
            <v>Not Applicable</v>
          </cell>
          <cell r="J207">
            <v>20000</v>
          </cell>
          <cell r="K207">
            <v>30000</v>
          </cell>
          <cell r="L207">
            <v>150000</v>
          </cell>
          <cell r="M207">
            <v>30000</v>
          </cell>
          <cell r="N207">
            <v>50000</v>
          </cell>
          <cell r="O207">
            <v>280000</v>
          </cell>
        </row>
        <row r="208">
          <cell r="A208" t="str">
            <v>212</v>
          </cell>
          <cell r="B208" t="str">
            <v>COUNTRY CONCRETE VIC</v>
          </cell>
          <cell r="C208" t="str">
            <v>Jerilderie</v>
          </cell>
          <cell r="E208" t="str">
            <v>Jerilderie</v>
          </cell>
          <cell r="G208" t="str">
            <v>New South Wales</v>
          </cell>
          <cell r="H208" t="str">
            <v>Australia</v>
          </cell>
          <cell r="I208" t="str">
            <v>Not Applicable</v>
          </cell>
          <cell r="J208">
            <v>10000</v>
          </cell>
          <cell r="K208">
            <v>10000</v>
          </cell>
          <cell r="L208">
            <v>100000</v>
          </cell>
          <cell r="M208">
            <v>20000</v>
          </cell>
          <cell r="N208">
            <v>50000</v>
          </cell>
          <cell r="O208">
            <v>190000</v>
          </cell>
        </row>
        <row r="209">
          <cell r="A209" t="str">
            <v>212</v>
          </cell>
          <cell r="B209" t="str">
            <v>COUNTRY CONCRETE VIC</v>
          </cell>
          <cell r="C209" t="str">
            <v>Kyabram Concrete</v>
          </cell>
          <cell r="D209" t="str">
            <v>Barton Road</v>
          </cell>
          <cell r="E209" t="str">
            <v>Kyabram</v>
          </cell>
          <cell r="F209" t="str">
            <v>3620</v>
          </cell>
          <cell r="G209" t="str">
            <v>Victoria</v>
          </cell>
          <cell r="H209" t="str">
            <v>Australia</v>
          </cell>
          <cell r="I209" t="str">
            <v>Not Applicable</v>
          </cell>
          <cell r="J209">
            <v>40000</v>
          </cell>
          <cell r="K209">
            <v>20000</v>
          </cell>
          <cell r="L209">
            <v>180000</v>
          </cell>
          <cell r="M209">
            <v>40000</v>
          </cell>
          <cell r="N209">
            <v>100000</v>
          </cell>
          <cell r="O209">
            <v>380000</v>
          </cell>
        </row>
        <row r="210">
          <cell r="A210" t="str">
            <v>212</v>
          </cell>
          <cell r="B210" t="str">
            <v>COUNTRY CONCRETE VIC</v>
          </cell>
          <cell r="C210" t="str">
            <v>Mildura Concrete</v>
          </cell>
          <cell r="D210" t="str">
            <v>Sandilong Avenue</v>
          </cell>
          <cell r="E210" t="str">
            <v>Irymple</v>
          </cell>
          <cell r="F210" t="str">
            <v>3498</v>
          </cell>
          <cell r="G210" t="str">
            <v>Victoria</v>
          </cell>
          <cell r="H210" t="str">
            <v>Australia</v>
          </cell>
          <cell r="I210" t="str">
            <v>Not Applicable</v>
          </cell>
          <cell r="J210">
            <v>40000</v>
          </cell>
          <cell r="K210">
            <v>220000</v>
          </cell>
          <cell r="L210">
            <v>260000</v>
          </cell>
          <cell r="M210">
            <v>160000</v>
          </cell>
          <cell r="N210">
            <v>100000</v>
          </cell>
          <cell r="O210">
            <v>780000</v>
          </cell>
        </row>
        <row r="211">
          <cell r="A211" t="str">
            <v>212</v>
          </cell>
          <cell r="B211" t="str">
            <v>COUNTRY CONCRETE VIC</v>
          </cell>
          <cell r="C211" t="str">
            <v>Moama Concrete</v>
          </cell>
          <cell r="D211" t="str">
            <v>Eddy Court</v>
          </cell>
          <cell r="E211" t="str">
            <v>Moama</v>
          </cell>
          <cell r="F211" t="str">
            <v>2647</v>
          </cell>
          <cell r="G211" t="str">
            <v>New South Wales</v>
          </cell>
          <cell r="H211" t="str">
            <v>Australia</v>
          </cell>
          <cell r="I211" t="str">
            <v>Not Applicable</v>
          </cell>
          <cell r="J211">
            <v>40000</v>
          </cell>
          <cell r="K211">
            <v>40000</v>
          </cell>
          <cell r="L211">
            <v>150000</v>
          </cell>
          <cell r="M211">
            <v>40000</v>
          </cell>
          <cell r="N211">
            <v>100000</v>
          </cell>
          <cell r="O211">
            <v>370000</v>
          </cell>
        </row>
        <row r="212">
          <cell r="A212" t="str">
            <v>212</v>
          </cell>
          <cell r="B212" t="str">
            <v>COUNTRY CONCRETE VIC</v>
          </cell>
          <cell r="C212" t="str">
            <v>Morwell Concrete</v>
          </cell>
          <cell r="D212" t="str">
            <v>Alexander's Road</v>
          </cell>
          <cell r="E212" t="str">
            <v>Morwell</v>
          </cell>
          <cell r="F212" t="str">
            <v>3840</v>
          </cell>
          <cell r="G212" t="str">
            <v>Victoria</v>
          </cell>
          <cell r="H212" t="str">
            <v>Australia</v>
          </cell>
          <cell r="I212" t="str">
            <v>Not Applicable</v>
          </cell>
          <cell r="J212">
            <v>0</v>
          </cell>
          <cell r="K212">
            <v>5000</v>
          </cell>
          <cell r="L212">
            <v>0</v>
          </cell>
          <cell r="M212">
            <v>0</v>
          </cell>
          <cell r="N212">
            <v>5000</v>
          </cell>
          <cell r="O212">
            <v>10000</v>
          </cell>
        </row>
        <row r="213">
          <cell r="A213" t="str">
            <v>212</v>
          </cell>
          <cell r="B213" t="str">
            <v>COUNTRY CONCRETE VIC</v>
          </cell>
          <cell r="C213" t="str">
            <v>Mulwala Concrete</v>
          </cell>
          <cell r="D213" t="str">
            <v>Romney Street</v>
          </cell>
          <cell r="E213" t="str">
            <v>Mulwala</v>
          </cell>
          <cell r="F213" t="str">
            <v>2731</v>
          </cell>
          <cell r="G213" t="str">
            <v>New South Wales</v>
          </cell>
          <cell r="H213" t="str">
            <v>Australia</v>
          </cell>
          <cell r="I213" t="str">
            <v>Not Applicable</v>
          </cell>
          <cell r="J213">
            <v>40000</v>
          </cell>
          <cell r="K213">
            <v>20000</v>
          </cell>
          <cell r="L213">
            <v>150000</v>
          </cell>
          <cell r="M213">
            <v>30000</v>
          </cell>
          <cell r="N213">
            <v>100000</v>
          </cell>
          <cell r="O213">
            <v>340000</v>
          </cell>
        </row>
        <row r="214">
          <cell r="A214" t="str">
            <v>212</v>
          </cell>
          <cell r="B214" t="str">
            <v>COUNTRY CONCRETE VIC</v>
          </cell>
          <cell r="C214" t="str">
            <v>Nagambie Concrete</v>
          </cell>
          <cell r="G214" t="str">
            <v>Victoria</v>
          </cell>
          <cell r="H214" t="str">
            <v>Australia</v>
          </cell>
          <cell r="I214" t="str">
            <v>Not Applicable</v>
          </cell>
          <cell r="J214">
            <v>10000</v>
          </cell>
          <cell r="K214">
            <v>5000</v>
          </cell>
          <cell r="L214">
            <v>80000</v>
          </cell>
          <cell r="M214">
            <v>20000</v>
          </cell>
          <cell r="N214">
            <v>50000</v>
          </cell>
          <cell r="O214">
            <v>165000</v>
          </cell>
        </row>
        <row r="215">
          <cell r="A215" t="str">
            <v>212</v>
          </cell>
          <cell r="B215" t="str">
            <v>COUNTRY CONCRETE VIC</v>
          </cell>
          <cell r="C215" t="str">
            <v>Numurkah</v>
          </cell>
          <cell r="G215" t="str">
            <v>Victoria</v>
          </cell>
          <cell r="H215" t="str">
            <v>Australia</v>
          </cell>
          <cell r="I215" t="str">
            <v>Not Applicable</v>
          </cell>
          <cell r="J215">
            <v>10000</v>
          </cell>
          <cell r="K215">
            <v>10000</v>
          </cell>
          <cell r="L215">
            <v>100000</v>
          </cell>
          <cell r="M215">
            <v>20000</v>
          </cell>
          <cell r="N215">
            <v>50000</v>
          </cell>
          <cell r="O215">
            <v>190000</v>
          </cell>
        </row>
        <row r="216">
          <cell r="A216" t="str">
            <v>212</v>
          </cell>
          <cell r="B216" t="str">
            <v>COUNTRY CONCRETE VIC</v>
          </cell>
          <cell r="C216" t="str">
            <v>Portable Concrete Plant 1 - CMG Country Concrete Vic.</v>
          </cell>
          <cell r="D216" t="str">
            <v>N/a</v>
          </cell>
          <cell r="E216" t="str">
            <v>N/a, vic</v>
          </cell>
          <cell r="F216" t="str">
            <v>3000</v>
          </cell>
          <cell r="G216" t="str">
            <v>Victoria</v>
          </cell>
          <cell r="H216" t="str">
            <v>Australia</v>
          </cell>
          <cell r="I216" t="str">
            <v>Not Applicable</v>
          </cell>
          <cell r="J216">
            <v>0</v>
          </cell>
          <cell r="K216">
            <v>0</v>
          </cell>
          <cell r="L216">
            <v>300000</v>
          </cell>
          <cell r="M216">
            <v>20000</v>
          </cell>
          <cell r="N216">
            <v>100000</v>
          </cell>
          <cell r="O216">
            <v>420000</v>
          </cell>
        </row>
        <row r="217">
          <cell r="A217" t="str">
            <v>212</v>
          </cell>
          <cell r="B217" t="str">
            <v>COUNTRY CONCRETE VIC</v>
          </cell>
          <cell r="C217" t="str">
            <v>Portable Concrete Plant 2 - CMG Country Concrete Vic.</v>
          </cell>
          <cell r="D217" t="str">
            <v>N/a</v>
          </cell>
          <cell r="E217" t="str">
            <v>N/a, vic</v>
          </cell>
          <cell r="F217" t="str">
            <v>3000</v>
          </cell>
          <cell r="G217" t="str">
            <v>Victoria</v>
          </cell>
          <cell r="H217" t="str">
            <v>Australia</v>
          </cell>
          <cell r="I217" t="str">
            <v>Not Applicable</v>
          </cell>
          <cell r="J217">
            <v>0</v>
          </cell>
          <cell r="K217">
            <v>0</v>
          </cell>
          <cell r="L217">
            <v>200000</v>
          </cell>
          <cell r="M217">
            <v>20000</v>
          </cell>
          <cell r="N217">
            <v>100000</v>
          </cell>
          <cell r="O217">
            <v>320000</v>
          </cell>
        </row>
        <row r="218">
          <cell r="A218" t="str">
            <v>212</v>
          </cell>
          <cell r="B218" t="str">
            <v>COUNTRY CONCRETE VIC</v>
          </cell>
          <cell r="C218" t="str">
            <v>Portland - George Street - CMG Country Concrete Vic.</v>
          </cell>
          <cell r="D218" t="str">
            <v>George Street</v>
          </cell>
          <cell r="E218" t="str">
            <v>Portland</v>
          </cell>
          <cell r="F218" t="str">
            <v>3305</v>
          </cell>
          <cell r="G218" t="str">
            <v>Victoria</v>
          </cell>
          <cell r="H218" t="str">
            <v>Australia</v>
          </cell>
          <cell r="I218" t="str">
            <v>Not Applicable</v>
          </cell>
          <cell r="J218">
            <v>40000</v>
          </cell>
          <cell r="K218">
            <v>20000</v>
          </cell>
          <cell r="L218">
            <v>400000</v>
          </cell>
          <cell r="M218">
            <v>20000</v>
          </cell>
          <cell r="N218">
            <v>100000</v>
          </cell>
          <cell r="O218">
            <v>580000</v>
          </cell>
        </row>
        <row r="219">
          <cell r="A219" t="str">
            <v>212</v>
          </cell>
          <cell r="B219" t="str">
            <v>COUNTRY CONCRETE VIC</v>
          </cell>
          <cell r="C219" t="str">
            <v>Robinvale Concrete</v>
          </cell>
          <cell r="D219" t="str">
            <v>Moore Street</v>
          </cell>
          <cell r="E219" t="str">
            <v>Robinvale</v>
          </cell>
          <cell r="F219" t="str">
            <v>3549</v>
          </cell>
          <cell r="G219" t="str">
            <v>Victoria</v>
          </cell>
          <cell r="H219" t="str">
            <v>Australia</v>
          </cell>
          <cell r="I219" t="str">
            <v>Not Applicable</v>
          </cell>
          <cell r="J219">
            <v>0</v>
          </cell>
          <cell r="K219">
            <v>5000</v>
          </cell>
          <cell r="L219">
            <v>50000</v>
          </cell>
          <cell r="M219">
            <v>0</v>
          </cell>
          <cell r="N219">
            <v>0</v>
          </cell>
          <cell r="O219">
            <v>55000</v>
          </cell>
        </row>
        <row r="220">
          <cell r="A220" t="str">
            <v>212</v>
          </cell>
          <cell r="B220" t="str">
            <v>COUNTRY CONCRETE VIC</v>
          </cell>
          <cell r="C220" t="str">
            <v>Shepparton Concrete</v>
          </cell>
          <cell r="D220" t="str">
            <v>Benalla Road</v>
          </cell>
          <cell r="E220" t="str">
            <v>Shepparton</v>
          </cell>
          <cell r="F220" t="str">
            <v>3630</v>
          </cell>
          <cell r="G220" t="str">
            <v>Victoria</v>
          </cell>
          <cell r="H220" t="str">
            <v>Australia</v>
          </cell>
          <cell r="I220" t="str">
            <v>Not Applicable</v>
          </cell>
          <cell r="J220">
            <v>60000</v>
          </cell>
          <cell r="K220">
            <v>60000</v>
          </cell>
          <cell r="L220">
            <v>300000</v>
          </cell>
          <cell r="M220">
            <v>50000</v>
          </cell>
          <cell r="N220">
            <v>100000</v>
          </cell>
          <cell r="O220">
            <v>570000</v>
          </cell>
        </row>
        <row r="221">
          <cell r="A221" t="str">
            <v>212</v>
          </cell>
          <cell r="B221" t="str">
            <v>COUNTRY CONCRETE VIC</v>
          </cell>
          <cell r="C221" t="str">
            <v>Shepparton Office</v>
          </cell>
          <cell r="D221" t="str">
            <v>400 Wyndham Street</v>
          </cell>
          <cell r="E221" t="str">
            <v>Shepparton</v>
          </cell>
          <cell r="F221" t="str">
            <v>3630</v>
          </cell>
          <cell r="G221" t="str">
            <v>Victoria</v>
          </cell>
          <cell r="H221" t="str">
            <v>Australia</v>
          </cell>
          <cell r="I221" t="str">
            <v>Not Applicable</v>
          </cell>
          <cell r="J221">
            <v>0</v>
          </cell>
          <cell r="K221">
            <v>0</v>
          </cell>
          <cell r="L221">
            <v>0</v>
          </cell>
          <cell r="M221">
            <v>0</v>
          </cell>
          <cell r="N221">
            <v>0</v>
          </cell>
          <cell r="O221">
            <v>0</v>
          </cell>
        </row>
        <row r="222">
          <cell r="A222" t="str">
            <v>212</v>
          </cell>
          <cell r="B222" t="str">
            <v>COUNTRY CONCRETE VIC</v>
          </cell>
          <cell r="C222" t="str">
            <v>St Arnaud Concrete</v>
          </cell>
          <cell r="D222" t="str">
            <v>Lot 15 Phillips Court</v>
          </cell>
          <cell r="E222" t="str">
            <v>St Arnaud</v>
          </cell>
          <cell r="F222" t="str">
            <v>3478</v>
          </cell>
          <cell r="G222" t="str">
            <v>Victoria</v>
          </cell>
          <cell r="H222" t="str">
            <v>Australia</v>
          </cell>
          <cell r="I222" t="str">
            <v>Not Applicable</v>
          </cell>
          <cell r="J222">
            <v>10000</v>
          </cell>
          <cell r="K222">
            <v>10000</v>
          </cell>
          <cell r="L222">
            <v>100000</v>
          </cell>
          <cell r="M222">
            <v>0</v>
          </cell>
          <cell r="N222">
            <v>50000</v>
          </cell>
          <cell r="O222">
            <v>170000</v>
          </cell>
        </row>
        <row r="223">
          <cell r="A223" t="str">
            <v>212</v>
          </cell>
          <cell r="B223" t="str">
            <v>COUNTRY CONCRETE VIC</v>
          </cell>
          <cell r="C223" t="str">
            <v>Swan Hill Concrete</v>
          </cell>
          <cell r="D223" t="str">
            <v>Cobb Court</v>
          </cell>
          <cell r="E223" t="str">
            <v>Swan Hill</v>
          </cell>
          <cell r="F223" t="str">
            <v>3585</v>
          </cell>
          <cell r="G223" t="str">
            <v>Victoria</v>
          </cell>
          <cell r="H223" t="str">
            <v>Australia</v>
          </cell>
          <cell r="I223" t="str">
            <v>Not Applicable</v>
          </cell>
          <cell r="J223">
            <v>20000</v>
          </cell>
          <cell r="K223">
            <v>30000</v>
          </cell>
          <cell r="L223">
            <v>180000</v>
          </cell>
          <cell r="M223">
            <v>30000</v>
          </cell>
          <cell r="N223">
            <v>100000</v>
          </cell>
          <cell r="O223">
            <v>360000</v>
          </cell>
        </row>
        <row r="224">
          <cell r="A224" t="str">
            <v>212</v>
          </cell>
          <cell r="B224" t="str">
            <v>COUNTRY CONCRETE VIC</v>
          </cell>
          <cell r="C224" t="str">
            <v>Tatura Concrete</v>
          </cell>
          <cell r="D224" t="str">
            <v>Edgar Street</v>
          </cell>
          <cell r="E224" t="str">
            <v>Tatura</v>
          </cell>
          <cell r="F224" t="str">
            <v>3616</v>
          </cell>
          <cell r="G224" t="str">
            <v>Victoria</v>
          </cell>
          <cell r="H224" t="str">
            <v>Australia</v>
          </cell>
          <cell r="I224" t="str">
            <v>Not Applicable</v>
          </cell>
          <cell r="J224">
            <v>20000</v>
          </cell>
          <cell r="K224">
            <v>40000</v>
          </cell>
          <cell r="L224">
            <v>150000</v>
          </cell>
          <cell r="M224">
            <v>30000</v>
          </cell>
          <cell r="N224">
            <v>100000</v>
          </cell>
          <cell r="O224">
            <v>340000</v>
          </cell>
        </row>
        <row r="225">
          <cell r="A225" t="str">
            <v>212</v>
          </cell>
          <cell r="B225" t="str">
            <v>COUNTRY CONCRETE VIC</v>
          </cell>
          <cell r="C225" t="str">
            <v>Tocumwal Concrete</v>
          </cell>
          <cell r="D225" t="str">
            <v>Newell Highway</v>
          </cell>
          <cell r="E225" t="str">
            <v>Tocumwal</v>
          </cell>
          <cell r="F225" t="str">
            <v>2714</v>
          </cell>
          <cell r="G225" t="str">
            <v>New South Wales</v>
          </cell>
          <cell r="H225" t="str">
            <v>Australia</v>
          </cell>
          <cell r="I225" t="str">
            <v>Not Applicable</v>
          </cell>
          <cell r="J225">
            <v>10000</v>
          </cell>
          <cell r="K225">
            <v>0</v>
          </cell>
          <cell r="L225">
            <v>150000</v>
          </cell>
          <cell r="M225">
            <v>0</v>
          </cell>
          <cell r="N225">
            <v>50000</v>
          </cell>
          <cell r="O225">
            <v>210000</v>
          </cell>
        </row>
        <row r="226">
          <cell r="A226" t="str">
            <v>212</v>
          </cell>
          <cell r="B226" t="str">
            <v>COUNTRY CONCRETE VIC</v>
          </cell>
          <cell r="C226" t="str">
            <v>Warrnambool Concrete</v>
          </cell>
          <cell r="D226" t="str">
            <v>Cnr Wellington &amp; Merri Streets</v>
          </cell>
          <cell r="E226" t="str">
            <v>Warrnambool</v>
          </cell>
          <cell r="F226" t="str">
            <v>3280</v>
          </cell>
          <cell r="G226" t="str">
            <v>Victoria</v>
          </cell>
          <cell r="H226" t="str">
            <v>Australia</v>
          </cell>
          <cell r="I226" t="str">
            <v>Not Applicable</v>
          </cell>
          <cell r="J226">
            <v>40000</v>
          </cell>
          <cell r="K226">
            <v>60000</v>
          </cell>
          <cell r="L226">
            <v>20000</v>
          </cell>
          <cell r="M226">
            <v>30000</v>
          </cell>
          <cell r="N226">
            <v>100000</v>
          </cell>
          <cell r="O226">
            <v>250000</v>
          </cell>
        </row>
        <row r="227">
          <cell r="A227" t="str">
            <v>212</v>
          </cell>
          <cell r="B227" t="str">
            <v>COUNTRY CONCRETE VIC</v>
          </cell>
          <cell r="C227" t="str">
            <v>Wodonga Concrete (New) - Country Concrete Vic. - Pearce Street</v>
          </cell>
          <cell r="D227" t="str">
            <v>Pearce Street</v>
          </cell>
          <cell r="E227" t="str">
            <v>Wodonga</v>
          </cell>
          <cell r="F227" t="str">
            <v>3690</v>
          </cell>
          <cell r="G227" t="str">
            <v>Victoria</v>
          </cell>
          <cell r="H227" t="str">
            <v>Australia</v>
          </cell>
          <cell r="I227" t="str">
            <v>Not Applicable</v>
          </cell>
          <cell r="J227">
            <v>40000</v>
          </cell>
          <cell r="K227">
            <v>20000</v>
          </cell>
          <cell r="L227">
            <v>400000</v>
          </cell>
          <cell r="M227">
            <v>30000</v>
          </cell>
          <cell r="N227">
            <v>100000</v>
          </cell>
          <cell r="O227">
            <v>590000</v>
          </cell>
        </row>
        <row r="228">
          <cell r="A228" t="str">
            <v>213</v>
          </cell>
          <cell r="B228" t="str">
            <v>COUNTRY QUARRIES VIC</v>
          </cell>
          <cell r="C228" t="str">
            <v>Administration - C Country Quarries Vic</v>
          </cell>
          <cell r="D228" t="str">
            <v>1 Glenferrie Road</v>
          </cell>
          <cell r="E228" t="str">
            <v>Malvern</v>
          </cell>
          <cell r="F228" t="str">
            <v>3144</v>
          </cell>
          <cell r="G228" t="str">
            <v>Victoria</v>
          </cell>
          <cell r="H228" t="str">
            <v>Australia</v>
          </cell>
          <cell r="I228" t="str">
            <v>Not Applicable</v>
          </cell>
          <cell r="J228">
            <v>0</v>
          </cell>
          <cell r="K228">
            <v>0</v>
          </cell>
          <cell r="L228">
            <v>0</v>
          </cell>
          <cell r="M228">
            <v>0</v>
          </cell>
          <cell r="N228">
            <v>0</v>
          </cell>
          <cell r="O228">
            <v>0</v>
          </cell>
        </row>
        <row r="229">
          <cell r="A229" t="str">
            <v>213</v>
          </cell>
          <cell r="B229" t="str">
            <v>COUNTRY QUARRIES VIC</v>
          </cell>
          <cell r="C229" t="str">
            <v>Ballarat Laboratory - CMG Country Quarries Vic</v>
          </cell>
          <cell r="D229" t="str">
            <v>Learmonth Street</v>
          </cell>
          <cell r="E229" t="str">
            <v>Ballarat</v>
          </cell>
          <cell r="F229" t="str">
            <v>3350</v>
          </cell>
          <cell r="G229" t="str">
            <v>Victoria</v>
          </cell>
          <cell r="H229" t="str">
            <v>Australia</v>
          </cell>
          <cell r="I229" t="str">
            <v>Not Applicable</v>
          </cell>
          <cell r="J229">
            <v>0</v>
          </cell>
          <cell r="K229">
            <v>0</v>
          </cell>
          <cell r="L229">
            <v>0</v>
          </cell>
          <cell r="M229">
            <v>0</v>
          </cell>
          <cell r="N229">
            <v>0</v>
          </cell>
          <cell r="O229">
            <v>0</v>
          </cell>
        </row>
        <row r="230">
          <cell r="A230" t="str">
            <v>213</v>
          </cell>
          <cell r="B230" t="str">
            <v>COUNTRY QUARRIES VIC</v>
          </cell>
          <cell r="C230" t="str">
            <v>Buninyong Sand</v>
          </cell>
          <cell r="D230" t="str">
            <v>Napoleons Road</v>
          </cell>
          <cell r="E230" t="str">
            <v>Buninyong</v>
          </cell>
          <cell r="F230" t="str">
            <v>3357</v>
          </cell>
          <cell r="G230" t="str">
            <v>Victoria</v>
          </cell>
          <cell r="H230" t="str">
            <v>Australia</v>
          </cell>
          <cell r="I230" t="str">
            <v>Not Applicable</v>
          </cell>
          <cell r="J230">
            <v>340000</v>
          </cell>
          <cell r="K230">
            <v>75000</v>
          </cell>
          <cell r="L230">
            <v>500000</v>
          </cell>
          <cell r="M230">
            <v>400000</v>
          </cell>
          <cell r="N230">
            <v>73000</v>
          </cell>
          <cell r="O230">
            <v>1388000</v>
          </cell>
        </row>
        <row r="231">
          <cell r="A231" t="str">
            <v>213</v>
          </cell>
          <cell r="B231" t="str">
            <v>COUNTRY QUARRIES VIC</v>
          </cell>
          <cell r="C231" t="str">
            <v>Cape Grant Quarry</v>
          </cell>
          <cell r="D231" t="str">
            <v>Quarry Road</v>
          </cell>
          <cell r="E231" t="str">
            <v>Portland</v>
          </cell>
          <cell r="F231" t="str">
            <v>3305</v>
          </cell>
          <cell r="G231" t="str">
            <v>Victoria</v>
          </cell>
          <cell r="H231" t="str">
            <v>Australia</v>
          </cell>
          <cell r="I231" t="str">
            <v>Not Applicable</v>
          </cell>
          <cell r="J231">
            <v>26000</v>
          </cell>
          <cell r="K231">
            <v>0</v>
          </cell>
          <cell r="L231">
            <v>100000</v>
          </cell>
          <cell r="M231">
            <v>0</v>
          </cell>
          <cell r="N231">
            <v>10000</v>
          </cell>
          <cell r="O231">
            <v>136000</v>
          </cell>
        </row>
        <row r="232">
          <cell r="A232" t="str">
            <v>213</v>
          </cell>
          <cell r="B232" t="str">
            <v>COUNTRY QUARRIES VIC</v>
          </cell>
          <cell r="C232" t="str">
            <v>Charlton Quarry</v>
          </cell>
          <cell r="D232" t="str">
            <v>Calder Highway</v>
          </cell>
          <cell r="E232" t="str">
            <v>Charlton</v>
          </cell>
          <cell r="F232" t="str">
            <v>3525</v>
          </cell>
          <cell r="G232" t="str">
            <v>Victoria</v>
          </cell>
          <cell r="H232" t="str">
            <v>Australia</v>
          </cell>
          <cell r="I232" t="str">
            <v>Not Applicable</v>
          </cell>
          <cell r="J232">
            <v>407800</v>
          </cell>
          <cell r="K232">
            <v>60000</v>
          </cell>
          <cell r="L232">
            <v>1750000</v>
          </cell>
          <cell r="M232">
            <v>480000</v>
          </cell>
          <cell r="N232">
            <v>355000</v>
          </cell>
          <cell r="O232">
            <v>3052800</v>
          </cell>
        </row>
        <row r="233">
          <cell r="A233" t="str">
            <v>213</v>
          </cell>
          <cell r="B233" t="str">
            <v>COUNTRY QUARRIES VIC</v>
          </cell>
          <cell r="C233" t="str">
            <v>Coleraine (2)</v>
          </cell>
          <cell r="D233" t="str">
            <v>Glenelg River</v>
          </cell>
          <cell r="E233" t="str">
            <v>Casterton</v>
          </cell>
          <cell r="F233" t="str">
            <v>3311</v>
          </cell>
          <cell r="G233" t="str">
            <v>Victoria</v>
          </cell>
          <cell r="H233" t="str">
            <v>Australia</v>
          </cell>
          <cell r="I233" t="str">
            <v>Not Applicable</v>
          </cell>
          <cell r="J233">
            <v>40000</v>
          </cell>
          <cell r="K233">
            <v>0</v>
          </cell>
          <cell r="L233">
            <v>100000</v>
          </cell>
          <cell r="M233">
            <v>150000</v>
          </cell>
          <cell r="N233">
            <v>30000</v>
          </cell>
          <cell r="O233">
            <v>320000</v>
          </cell>
        </row>
        <row r="234">
          <cell r="A234" t="str">
            <v>213</v>
          </cell>
          <cell r="B234" t="str">
            <v>COUNTRY QUARRIES VIC</v>
          </cell>
          <cell r="C234" t="str">
            <v>Coleraine (3)</v>
          </cell>
          <cell r="D234" t="str">
            <v>Glenelg River</v>
          </cell>
          <cell r="E234" t="str">
            <v>Harrow</v>
          </cell>
          <cell r="F234" t="str">
            <v>3317</v>
          </cell>
          <cell r="G234" t="str">
            <v>Victoria</v>
          </cell>
          <cell r="H234" t="str">
            <v>Australia</v>
          </cell>
          <cell r="I234" t="str">
            <v>Not Applicable</v>
          </cell>
          <cell r="J234">
            <v>0</v>
          </cell>
          <cell r="K234">
            <v>0</v>
          </cell>
          <cell r="L234">
            <v>0</v>
          </cell>
          <cell r="M234">
            <v>0</v>
          </cell>
          <cell r="N234">
            <v>0</v>
          </cell>
          <cell r="O234">
            <v>0</v>
          </cell>
        </row>
        <row r="235">
          <cell r="A235" t="str">
            <v>213</v>
          </cell>
          <cell r="B235" t="str">
            <v>COUNTRY QUARRIES VIC</v>
          </cell>
          <cell r="C235" t="str">
            <v>Coleraine Sand (1)</v>
          </cell>
          <cell r="D235" t="str">
            <v>Bryant Creek Road</v>
          </cell>
          <cell r="E235" t="str">
            <v>Coleraine</v>
          </cell>
          <cell r="F235" t="str">
            <v>3315</v>
          </cell>
          <cell r="G235" t="str">
            <v>Victoria</v>
          </cell>
          <cell r="H235" t="str">
            <v>Australia</v>
          </cell>
          <cell r="I235" t="str">
            <v>Not Applicable</v>
          </cell>
          <cell r="J235">
            <v>0</v>
          </cell>
          <cell r="K235">
            <v>0</v>
          </cell>
          <cell r="L235">
            <v>0</v>
          </cell>
          <cell r="M235">
            <v>0</v>
          </cell>
          <cell r="N235">
            <v>0</v>
          </cell>
          <cell r="O235">
            <v>0</v>
          </cell>
        </row>
        <row r="236">
          <cell r="A236" t="str">
            <v>213</v>
          </cell>
          <cell r="B236" t="str">
            <v>COUNTRY QUARRIES VIC</v>
          </cell>
          <cell r="C236" t="str">
            <v>Corowa Sand</v>
          </cell>
          <cell r="D236" t="str">
            <v>Riverina Highway</v>
          </cell>
          <cell r="E236" t="str">
            <v>Howlong</v>
          </cell>
          <cell r="F236" t="str">
            <v>2643</v>
          </cell>
          <cell r="G236" t="str">
            <v>New South Wales</v>
          </cell>
          <cell r="H236" t="str">
            <v>Australia</v>
          </cell>
          <cell r="I236" t="str">
            <v>Not Applicable</v>
          </cell>
          <cell r="J236">
            <v>53000</v>
          </cell>
          <cell r="K236">
            <v>0</v>
          </cell>
          <cell r="L236">
            <v>0</v>
          </cell>
          <cell r="M236">
            <v>0</v>
          </cell>
          <cell r="N236">
            <v>0</v>
          </cell>
          <cell r="O236">
            <v>53000</v>
          </cell>
        </row>
        <row r="237">
          <cell r="A237" t="str">
            <v>213</v>
          </cell>
          <cell r="B237" t="str">
            <v>COUNTRY QUARRIES VIC</v>
          </cell>
          <cell r="C237" t="str">
            <v>Cosgrove Quarry</v>
          </cell>
          <cell r="D237" t="str">
            <v>Quarry Road</v>
          </cell>
          <cell r="E237" t="str">
            <v>Cosgrove</v>
          </cell>
          <cell r="F237" t="str">
            <v>3645</v>
          </cell>
          <cell r="G237" t="str">
            <v>Victoria</v>
          </cell>
          <cell r="H237" t="str">
            <v>Australia</v>
          </cell>
          <cell r="I237" t="str">
            <v>Not Applicable</v>
          </cell>
          <cell r="J237">
            <v>1153000</v>
          </cell>
          <cell r="K237">
            <v>60000</v>
          </cell>
          <cell r="L237">
            <v>2800000</v>
          </cell>
          <cell r="M237">
            <v>1900000</v>
          </cell>
          <cell r="N237">
            <v>1068000</v>
          </cell>
          <cell r="O237">
            <v>6981000</v>
          </cell>
        </row>
        <row r="238">
          <cell r="A238" t="str">
            <v>213</v>
          </cell>
          <cell r="B238" t="str">
            <v>COUNTRY QUARRIES VIC</v>
          </cell>
          <cell r="C238" t="str">
            <v>Culcairn Lab</v>
          </cell>
          <cell r="D238" t="str">
            <v>Weeamarra Road</v>
          </cell>
          <cell r="E238" t="str">
            <v>Culcairn</v>
          </cell>
          <cell r="F238" t="str">
            <v>2660</v>
          </cell>
          <cell r="G238" t="str">
            <v>New South Wales</v>
          </cell>
          <cell r="H238" t="str">
            <v>Australia</v>
          </cell>
          <cell r="I238" t="str">
            <v>Not Applicable</v>
          </cell>
          <cell r="J238">
            <v>0</v>
          </cell>
          <cell r="K238">
            <v>0</v>
          </cell>
          <cell r="L238">
            <v>40000</v>
          </cell>
          <cell r="M238">
            <v>30000</v>
          </cell>
          <cell r="N238">
            <v>45000</v>
          </cell>
          <cell r="O238">
            <v>115000</v>
          </cell>
        </row>
        <row r="239">
          <cell r="A239" t="str">
            <v>213</v>
          </cell>
          <cell r="B239" t="str">
            <v>COUNTRY QUARRIES VIC</v>
          </cell>
          <cell r="C239" t="str">
            <v>Culcairn Quarry</v>
          </cell>
          <cell r="D239" t="str">
            <v>Weeamarra Road</v>
          </cell>
          <cell r="E239" t="str">
            <v>Culcairn</v>
          </cell>
          <cell r="F239" t="str">
            <v>2660</v>
          </cell>
          <cell r="G239" t="str">
            <v>New South Wales</v>
          </cell>
          <cell r="H239" t="str">
            <v>Australia</v>
          </cell>
          <cell r="I239" t="str">
            <v>Not Applicable</v>
          </cell>
          <cell r="J239">
            <v>2530000</v>
          </cell>
          <cell r="K239">
            <v>300000</v>
          </cell>
          <cell r="L239">
            <v>3500000</v>
          </cell>
          <cell r="M239">
            <v>1600000</v>
          </cell>
          <cell r="N239">
            <v>943000</v>
          </cell>
          <cell r="O239">
            <v>8873000</v>
          </cell>
        </row>
        <row r="240">
          <cell r="A240" t="str">
            <v>213</v>
          </cell>
          <cell r="B240" t="str">
            <v>COUNTRY QUARRIES VIC</v>
          </cell>
          <cell r="C240" t="str">
            <v>Dundas Quarry</v>
          </cell>
          <cell r="D240" t="str">
            <v>Mt Napier Rd</v>
          </cell>
          <cell r="E240" t="str">
            <v>Mt Napier</v>
          </cell>
          <cell r="G240" t="str">
            <v>Victoria</v>
          </cell>
          <cell r="H240" t="str">
            <v>Australia</v>
          </cell>
          <cell r="I240" t="str">
            <v>Not Applicable</v>
          </cell>
          <cell r="J240">
            <v>450000</v>
          </cell>
          <cell r="K240">
            <v>20000</v>
          </cell>
          <cell r="L240">
            <v>1500000</v>
          </cell>
          <cell r="M240">
            <v>2000000</v>
          </cell>
          <cell r="N240">
            <v>220000</v>
          </cell>
          <cell r="O240">
            <v>4190000</v>
          </cell>
        </row>
        <row r="241">
          <cell r="A241" t="str">
            <v>213</v>
          </cell>
          <cell r="B241" t="str">
            <v>COUNTRY QUARRIES VIC</v>
          </cell>
          <cell r="C241" t="str">
            <v>Dunnstown Quarry</v>
          </cell>
          <cell r="D241" t="str">
            <v>Yendon Road</v>
          </cell>
          <cell r="E241" t="str">
            <v>Dunnstown</v>
          </cell>
          <cell r="F241" t="str">
            <v>3352</v>
          </cell>
          <cell r="G241" t="str">
            <v>Victoria</v>
          </cell>
          <cell r="H241" t="str">
            <v>Australia</v>
          </cell>
          <cell r="I241" t="str">
            <v>Not Applicable</v>
          </cell>
          <cell r="J241">
            <v>780000</v>
          </cell>
          <cell r="K241">
            <v>220000</v>
          </cell>
          <cell r="L241">
            <v>3000000</v>
          </cell>
          <cell r="M241">
            <v>1950000</v>
          </cell>
          <cell r="N241">
            <v>1087000</v>
          </cell>
          <cell r="O241">
            <v>7037000</v>
          </cell>
        </row>
        <row r="242">
          <cell r="A242" t="str">
            <v>213</v>
          </cell>
          <cell r="B242" t="str">
            <v>COUNTRY QUARRIES VIC</v>
          </cell>
          <cell r="C242" t="str">
            <v>Glenmaggie Quarry</v>
          </cell>
          <cell r="D242" t="str">
            <v>Orchard Valley Road</v>
          </cell>
          <cell r="E242" t="str">
            <v>Glenmaggie</v>
          </cell>
          <cell r="F242" t="str">
            <v>3858</v>
          </cell>
          <cell r="G242" t="str">
            <v>Victoria</v>
          </cell>
          <cell r="H242" t="str">
            <v>Australia</v>
          </cell>
          <cell r="I242" t="str">
            <v>Not Applicable</v>
          </cell>
          <cell r="J242">
            <v>0</v>
          </cell>
          <cell r="K242">
            <v>0</v>
          </cell>
          <cell r="L242">
            <v>0</v>
          </cell>
          <cell r="M242">
            <v>0</v>
          </cell>
          <cell r="N242">
            <v>0</v>
          </cell>
          <cell r="O242">
            <v>0</v>
          </cell>
        </row>
        <row r="243">
          <cell r="A243" t="str">
            <v>213</v>
          </cell>
          <cell r="B243" t="str">
            <v>COUNTRY QUARRIES VIC</v>
          </cell>
          <cell r="C243" t="str">
            <v>Gravel Hill Quarry</v>
          </cell>
          <cell r="D243" t="str">
            <v>Youngs Road</v>
          </cell>
          <cell r="E243" t="str">
            <v>Cosgrove</v>
          </cell>
          <cell r="F243" t="str">
            <v>3645</v>
          </cell>
          <cell r="G243" t="str">
            <v>Victoria</v>
          </cell>
          <cell r="H243" t="str">
            <v>Australia</v>
          </cell>
          <cell r="I243" t="str">
            <v>Not Applicable</v>
          </cell>
          <cell r="J243">
            <v>150000</v>
          </cell>
          <cell r="K243">
            <v>20000</v>
          </cell>
          <cell r="L243">
            <v>550000</v>
          </cell>
          <cell r="M243">
            <v>350000</v>
          </cell>
          <cell r="N243">
            <v>85000</v>
          </cell>
          <cell r="O243">
            <v>1155000</v>
          </cell>
        </row>
        <row r="244">
          <cell r="A244" t="str">
            <v>213</v>
          </cell>
          <cell r="B244" t="str">
            <v>COUNTRY QUARRIES VIC</v>
          </cell>
          <cell r="C244" t="str">
            <v>Hamilton Quarry</v>
          </cell>
          <cell r="D244" t="str">
            <v>Nigretta Falls Road</v>
          </cell>
          <cell r="E244" t="str">
            <v>Hamilton</v>
          </cell>
          <cell r="F244" t="str">
            <v>3300</v>
          </cell>
          <cell r="G244" t="str">
            <v>Victoria</v>
          </cell>
          <cell r="H244" t="str">
            <v>Australia</v>
          </cell>
          <cell r="I244" t="str">
            <v>Not Applicable</v>
          </cell>
          <cell r="J244">
            <v>0</v>
          </cell>
          <cell r="K244">
            <v>0</v>
          </cell>
          <cell r="L244">
            <v>0</v>
          </cell>
          <cell r="M244">
            <v>0</v>
          </cell>
          <cell r="N244">
            <v>0</v>
          </cell>
          <cell r="O244">
            <v>0</v>
          </cell>
        </row>
        <row r="245">
          <cell r="A245" t="str">
            <v>213</v>
          </cell>
          <cell r="B245" t="str">
            <v>COUNTRY QUARRIES VIC</v>
          </cell>
          <cell r="C245" t="str">
            <v>Katunga Sand</v>
          </cell>
          <cell r="E245" t="str">
            <v>Katunga</v>
          </cell>
          <cell r="G245" t="str">
            <v>Victoria</v>
          </cell>
          <cell r="H245" t="str">
            <v>Australia</v>
          </cell>
          <cell r="I245" t="str">
            <v>Not Applicable</v>
          </cell>
          <cell r="J245">
            <v>120000</v>
          </cell>
          <cell r="K245">
            <v>50000</v>
          </cell>
          <cell r="L245">
            <v>650000</v>
          </cell>
          <cell r="M245">
            <v>450000</v>
          </cell>
          <cell r="N245">
            <v>33000</v>
          </cell>
          <cell r="O245">
            <v>1303000</v>
          </cell>
        </row>
        <row r="246">
          <cell r="A246" t="str">
            <v>213</v>
          </cell>
          <cell r="B246" t="str">
            <v>COUNTRY QUARRIES VIC</v>
          </cell>
          <cell r="C246" t="str">
            <v>MG Drill Rig</v>
          </cell>
          <cell r="G246" t="str">
            <v>Victoria</v>
          </cell>
          <cell r="H246" t="str">
            <v>Australia</v>
          </cell>
          <cell r="I246" t="str">
            <v>Not Applicable</v>
          </cell>
          <cell r="J246">
            <v>0</v>
          </cell>
          <cell r="K246">
            <v>0</v>
          </cell>
          <cell r="L246">
            <v>0</v>
          </cell>
          <cell r="M246">
            <v>350000</v>
          </cell>
          <cell r="N246">
            <v>0</v>
          </cell>
          <cell r="O246">
            <v>350000</v>
          </cell>
        </row>
        <row r="247">
          <cell r="A247" t="str">
            <v>213</v>
          </cell>
          <cell r="B247" t="str">
            <v>COUNTRY QUARRIES VIC</v>
          </cell>
          <cell r="C247" t="str">
            <v>Mildura River Sand</v>
          </cell>
          <cell r="D247" t="str">
            <v>Cowana Bend Murray River</v>
          </cell>
          <cell r="E247" t="str">
            <v>Dareton</v>
          </cell>
          <cell r="F247" t="str">
            <v>2717</v>
          </cell>
          <cell r="G247" t="str">
            <v>New South Wales</v>
          </cell>
          <cell r="H247" t="str">
            <v>Australia</v>
          </cell>
          <cell r="I247" t="str">
            <v>Not Applicable</v>
          </cell>
          <cell r="J247">
            <v>9100</v>
          </cell>
          <cell r="K247">
            <v>10000</v>
          </cell>
          <cell r="L247">
            <v>100000</v>
          </cell>
          <cell r="M247">
            <v>80000</v>
          </cell>
          <cell r="N247">
            <v>39000</v>
          </cell>
          <cell r="O247">
            <v>238100</v>
          </cell>
        </row>
        <row r="248">
          <cell r="A248" t="str">
            <v>213</v>
          </cell>
          <cell r="B248" t="str">
            <v>COUNTRY QUARRIES VIC</v>
          </cell>
          <cell r="C248" t="str">
            <v>Miners Rest Quarry</v>
          </cell>
          <cell r="D248" t="str">
            <v>Victoria Street</v>
          </cell>
          <cell r="E248" t="str">
            <v>Miners Rest</v>
          </cell>
          <cell r="F248" t="str">
            <v>3352</v>
          </cell>
          <cell r="G248" t="str">
            <v>Victoria</v>
          </cell>
          <cell r="H248" t="str">
            <v>Australia</v>
          </cell>
          <cell r="I248" t="str">
            <v>Not Applicable</v>
          </cell>
          <cell r="J248">
            <v>56000</v>
          </cell>
          <cell r="K248">
            <v>100000</v>
          </cell>
          <cell r="L248">
            <v>3650000</v>
          </cell>
          <cell r="M248">
            <v>1950000</v>
          </cell>
          <cell r="N248">
            <v>247000</v>
          </cell>
          <cell r="O248">
            <v>6003000</v>
          </cell>
        </row>
        <row r="249">
          <cell r="A249" t="str">
            <v>213</v>
          </cell>
          <cell r="B249" t="str">
            <v>COUNTRY QUARRIES VIC</v>
          </cell>
          <cell r="C249" t="str">
            <v>North Central Drill Rig</v>
          </cell>
          <cell r="G249" t="str">
            <v>Victoria</v>
          </cell>
          <cell r="H249" t="str">
            <v>Australia</v>
          </cell>
          <cell r="I249" t="str">
            <v>Not Applicable</v>
          </cell>
          <cell r="J249">
            <v>0</v>
          </cell>
          <cell r="K249">
            <v>0</v>
          </cell>
          <cell r="L249">
            <v>0</v>
          </cell>
          <cell r="M249">
            <v>350000</v>
          </cell>
          <cell r="N249">
            <v>11000</v>
          </cell>
          <cell r="O249">
            <v>361000</v>
          </cell>
        </row>
        <row r="250">
          <cell r="A250" t="str">
            <v>213</v>
          </cell>
          <cell r="B250" t="str">
            <v>COUNTRY QUARRIES VIC</v>
          </cell>
          <cell r="C250" t="str">
            <v>Portland Sand - CMG Country Quarries Vic.</v>
          </cell>
          <cell r="D250" t="str">
            <v>Bridgewater Road</v>
          </cell>
          <cell r="E250" t="str">
            <v>Portland</v>
          </cell>
          <cell r="F250" t="str">
            <v>3305</v>
          </cell>
          <cell r="G250" t="str">
            <v>Victoria</v>
          </cell>
          <cell r="H250" t="str">
            <v>Australia</v>
          </cell>
          <cell r="I250" t="str">
            <v>Not Applicable</v>
          </cell>
          <cell r="J250">
            <v>0</v>
          </cell>
          <cell r="K250">
            <v>0</v>
          </cell>
          <cell r="L250">
            <v>0</v>
          </cell>
          <cell r="M250">
            <v>0</v>
          </cell>
          <cell r="N250">
            <v>0</v>
          </cell>
          <cell r="O250">
            <v>0</v>
          </cell>
        </row>
        <row r="251">
          <cell r="A251" t="str">
            <v>213</v>
          </cell>
          <cell r="B251" t="str">
            <v>COUNTRY QUARRIES VIC</v>
          </cell>
          <cell r="C251" t="str">
            <v>Shepparton Laboratory</v>
          </cell>
          <cell r="D251" t="str">
            <v>Quarry Road</v>
          </cell>
          <cell r="E251" t="str">
            <v>Shepparton</v>
          </cell>
          <cell r="F251" t="str">
            <v>3630</v>
          </cell>
          <cell r="G251" t="str">
            <v>Victoria</v>
          </cell>
          <cell r="H251" t="str">
            <v>Australia</v>
          </cell>
          <cell r="I251" t="str">
            <v>Not Applicable</v>
          </cell>
          <cell r="J251">
            <v>0</v>
          </cell>
          <cell r="K251">
            <v>50000</v>
          </cell>
          <cell r="L251">
            <v>200000</v>
          </cell>
          <cell r="M251">
            <v>0</v>
          </cell>
          <cell r="N251">
            <v>16000</v>
          </cell>
          <cell r="O251">
            <v>266000</v>
          </cell>
        </row>
        <row r="252">
          <cell r="A252" t="str">
            <v>213</v>
          </cell>
          <cell r="B252" t="str">
            <v>COUNTRY QUARRIES VIC</v>
          </cell>
          <cell r="C252" t="str">
            <v>Stratford Sand</v>
          </cell>
          <cell r="D252" t="str">
            <v>Inverbroom Road</v>
          </cell>
          <cell r="E252" t="str">
            <v>Stratford</v>
          </cell>
          <cell r="F252" t="str">
            <v>3862</v>
          </cell>
          <cell r="G252" t="str">
            <v>Victoria</v>
          </cell>
          <cell r="H252" t="str">
            <v>Australia</v>
          </cell>
          <cell r="I252" t="str">
            <v>Not Applicable</v>
          </cell>
          <cell r="J252">
            <v>0</v>
          </cell>
          <cell r="K252">
            <v>0</v>
          </cell>
          <cell r="L252">
            <v>0</v>
          </cell>
          <cell r="M252">
            <v>0</v>
          </cell>
          <cell r="N252">
            <v>0</v>
          </cell>
          <cell r="O252">
            <v>0</v>
          </cell>
        </row>
        <row r="253">
          <cell r="A253" t="str">
            <v>213</v>
          </cell>
          <cell r="B253" t="str">
            <v>COUNTRY QUARRIES VIC</v>
          </cell>
          <cell r="C253" t="str">
            <v>Tyrendarra Quarry</v>
          </cell>
          <cell r="D253" t="str">
            <v>Princes Highway</v>
          </cell>
          <cell r="E253" t="str">
            <v>Tyrendarra</v>
          </cell>
          <cell r="F253" t="str">
            <v>3285</v>
          </cell>
          <cell r="G253" t="str">
            <v>Victoria</v>
          </cell>
          <cell r="H253" t="str">
            <v>Australia</v>
          </cell>
          <cell r="I253" t="str">
            <v>Not Applicable</v>
          </cell>
          <cell r="J253">
            <v>50000</v>
          </cell>
          <cell r="K253">
            <v>50000</v>
          </cell>
          <cell r="L253">
            <v>1760000</v>
          </cell>
          <cell r="M253">
            <v>200000</v>
          </cell>
          <cell r="N253">
            <v>78000</v>
          </cell>
          <cell r="O253">
            <v>2138000</v>
          </cell>
        </row>
        <row r="254">
          <cell r="A254" t="str">
            <v>213</v>
          </cell>
          <cell r="B254" t="str">
            <v>COUNTRY QUARRIES VIC</v>
          </cell>
          <cell r="C254" t="str">
            <v>Yallourn Quarry</v>
          </cell>
          <cell r="D254" t="str">
            <v>Quarry Road</v>
          </cell>
          <cell r="E254" t="str">
            <v>Yalourn North</v>
          </cell>
          <cell r="F254" t="str">
            <v>3825</v>
          </cell>
          <cell r="G254" t="str">
            <v>Victoria</v>
          </cell>
          <cell r="H254" t="str">
            <v>Australia</v>
          </cell>
          <cell r="I254" t="str">
            <v>Not Applicable</v>
          </cell>
          <cell r="J254">
            <v>1498000</v>
          </cell>
          <cell r="K254">
            <v>100000</v>
          </cell>
          <cell r="L254">
            <v>3500000</v>
          </cell>
          <cell r="M254">
            <v>1500000</v>
          </cell>
          <cell r="N254">
            <v>344000</v>
          </cell>
          <cell r="O254">
            <v>6942000</v>
          </cell>
        </row>
        <row r="255">
          <cell r="A255" t="str">
            <v>214</v>
          </cell>
          <cell r="B255" t="str">
            <v>ASPHALT VIC</v>
          </cell>
          <cell r="C255" t="str">
            <v>Ballarat - Apshalt</v>
          </cell>
          <cell r="D255" t="str">
            <v>Creswick Road</v>
          </cell>
          <cell r="E255" t="str">
            <v>Ballarat</v>
          </cell>
          <cell r="F255" t="str">
            <v>3350</v>
          </cell>
          <cell r="G255" t="str">
            <v>Victoria</v>
          </cell>
          <cell r="H255" t="str">
            <v>Australia</v>
          </cell>
          <cell r="I255" t="str">
            <v>Not Applicable</v>
          </cell>
          <cell r="J255">
            <v>35000</v>
          </cell>
          <cell r="K255">
            <v>50000</v>
          </cell>
          <cell r="L255">
            <v>2500000</v>
          </cell>
          <cell r="M255">
            <v>15000</v>
          </cell>
          <cell r="N255">
            <v>1100000</v>
          </cell>
          <cell r="O255">
            <v>3700000</v>
          </cell>
        </row>
        <row r="256">
          <cell r="A256" t="str">
            <v>214</v>
          </cell>
          <cell r="B256" t="str">
            <v>ASPHALT VIC</v>
          </cell>
          <cell r="C256" t="str">
            <v>Bendigo - Apshalt</v>
          </cell>
          <cell r="D256" t="str">
            <v>Strickland Road</v>
          </cell>
          <cell r="E256" t="str">
            <v>Bendigo</v>
          </cell>
          <cell r="F256" t="str">
            <v>3550</v>
          </cell>
          <cell r="G256" t="str">
            <v>Victoria</v>
          </cell>
          <cell r="H256" t="str">
            <v>Australia</v>
          </cell>
          <cell r="I256" t="str">
            <v>Not Applicable</v>
          </cell>
          <cell r="J256">
            <v>70000</v>
          </cell>
          <cell r="K256">
            <v>75000</v>
          </cell>
          <cell r="L256">
            <v>3100000</v>
          </cell>
          <cell r="M256">
            <v>0</v>
          </cell>
          <cell r="N256">
            <v>2000000</v>
          </cell>
          <cell r="O256">
            <v>5245000</v>
          </cell>
        </row>
        <row r="257">
          <cell r="A257" t="str">
            <v>214</v>
          </cell>
          <cell r="B257" t="str">
            <v>ASPHALT VIC</v>
          </cell>
          <cell r="C257" t="str">
            <v>Deer Park</v>
          </cell>
          <cell r="D257" t="str">
            <v>Riding Boundary Road</v>
          </cell>
          <cell r="E257" t="str">
            <v>Deer Park</v>
          </cell>
          <cell r="F257" t="str">
            <v>3023</v>
          </cell>
          <cell r="G257" t="str">
            <v>Victoria</v>
          </cell>
          <cell r="H257" t="str">
            <v>Australia</v>
          </cell>
          <cell r="I257" t="str">
            <v>Not Applicable</v>
          </cell>
          <cell r="J257">
            <v>500000</v>
          </cell>
          <cell r="K257">
            <v>250000</v>
          </cell>
          <cell r="L257">
            <v>7500000</v>
          </cell>
          <cell r="M257">
            <v>200000</v>
          </cell>
          <cell r="N257">
            <v>3500000</v>
          </cell>
          <cell r="O257">
            <v>11950000</v>
          </cell>
        </row>
        <row r="258">
          <cell r="A258" t="str">
            <v>214</v>
          </cell>
          <cell r="B258" t="str">
            <v>ASPHALT VIC</v>
          </cell>
          <cell r="C258" t="str">
            <v>Dingley - Asphalt Vic</v>
          </cell>
          <cell r="D258" t="str">
            <v>Tootals Road</v>
          </cell>
          <cell r="E258" t="str">
            <v>Dingley</v>
          </cell>
          <cell r="F258" t="str">
            <v>3172</v>
          </cell>
          <cell r="G258" t="str">
            <v>Victoria</v>
          </cell>
          <cell r="H258" t="str">
            <v>Australia</v>
          </cell>
          <cell r="I258" t="str">
            <v>Not Applicable</v>
          </cell>
          <cell r="J258">
            <v>0</v>
          </cell>
          <cell r="K258">
            <v>0</v>
          </cell>
          <cell r="L258">
            <v>0</v>
          </cell>
          <cell r="M258">
            <v>0</v>
          </cell>
          <cell r="N258">
            <v>0</v>
          </cell>
          <cell r="O258">
            <v>0</v>
          </cell>
        </row>
        <row r="259">
          <cell r="A259" t="str">
            <v>214</v>
          </cell>
          <cell r="B259" t="str">
            <v>ASPHALT VIC</v>
          </cell>
          <cell r="C259" t="str">
            <v>Geelong - Apshalt</v>
          </cell>
          <cell r="D259" t="str">
            <v>Fyansford</v>
          </cell>
          <cell r="E259" t="str">
            <v>Geelong</v>
          </cell>
          <cell r="F259" t="str">
            <v>3221</v>
          </cell>
          <cell r="G259" t="str">
            <v>Victoria</v>
          </cell>
          <cell r="H259" t="str">
            <v>Australia</v>
          </cell>
          <cell r="I259" t="str">
            <v>Not Applicable</v>
          </cell>
          <cell r="J259">
            <v>15000</v>
          </cell>
          <cell r="K259">
            <v>50000</v>
          </cell>
          <cell r="L259">
            <v>2450000</v>
          </cell>
          <cell r="M259">
            <v>0</v>
          </cell>
          <cell r="N259">
            <v>300000</v>
          </cell>
          <cell r="O259">
            <v>2815000</v>
          </cell>
        </row>
        <row r="260">
          <cell r="A260" t="str">
            <v>214</v>
          </cell>
          <cell r="B260" t="str">
            <v>ASPHALT VIC</v>
          </cell>
          <cell r="C260" t="str">
            <v>Geelong North - Apshalt Vic</v>
          </cell>
          <cell r="D260" t="str">
            <v>Benmore Street</v>
          </cell>
          <cell r="E260" t="str">
            <v>Geelong</v>
          </cell>
          <cell r="F260" t="str">
            <v>3215</v>
          </cell>
          <cell r="G260" t="str">
            <v>Victoria</v>
          </cell>
          <cell r="H260" t="str">
            <v>Australia</v>
          </cell>
          <cell r="I260" t="str">
            <v>Not Applicable</v>
          </cell>
          <cell r="J260">
            <v>25000</v>
          </cell>
          <cell r="K260">
            <v>50000</v>
          </cell>
          <cell r="L260">
            <v>0</v>
          </cell>
          <cell r="M260">
            <v>0</v>
          </cell>
          <cell r="N260">
            <v>0</v>
          </cell>
          <cell r="O260">
            <v>75000</v>
          </cell>
        </row>
        <row r="261">
          <cell r="A261" t="str">
            <v>214</v>
          </cell>
          <cell r="B261" t="str">
            <v>ASPHALT VIC</v>
          </cell>
          <cell r="C261" t="str">
            <v>Head Office - Asphalt</v>
          </cell>
          <cell r="D261" t="str">
            <v>1 Glenferrie Road</v>
          </cell>
          <cell r="E261" t="str">
            <v>Malvern</v>
          </cell>
          <cell r="F261" t="str">
            <v>3144</v>
          </cell>
          <cell r="G261" t="str">
            <v>Victoria</v>
          </cell>
          <cell r="H261" t="str">
            <v>Australia</v>
          </cell>
          <cell r="I261" t="str">
            <v>Not Applicable</v>
          </cell>
          <cell r="J261">
            <v>0</v>
          </cell>
          <cell r="K261">
            <v>0</v>
          </cell>
          <cell r="L261">
            <v>0</v>
          </cell>
          <cell r="M261">
            <v>0</v>
          </cell>
          <cell r="N261">
            <v>0</v>
          </cell>
          <cell r="O261">
            <v>0</v>
          </cell>
        </row>
        <row r="262">
          <cell r="A262" t="str">
            <v>214</v>
          </cell>
          <cell r="B262" t="str">
            <v>ASPHALT VIC</v>
          </cell>
          <cell r="C262" t="str">
            <v>Metro Rd Maintenance</v>
          </cell>
          <cell r="E262" t="str">
            <v>Altona</v>
          </cell>
          <cell r="F262" t="str">
            <v>3018</v>
          </cell>
          <cell r="G262" t="str">
            <v>Victoria</v>
          </cell>
          <cell r="H262" t="str">
            <v>Australia</v>
          </cell>
          <cell r="I262" t="str">
            <v>Not Applicable</v>
          </cell>
          <cell r="J262">
            <v>0</v>
          </cell>
          <cell r="K262">
            <v>0</v>
          </cell>
          <cell r="L262">
            <v>50000</v>
          </cell>
          <cell r="M262">
            <v>0</v>
          </cell>
          <cell r="N262">
            <v>0</v>
          </cell>
          <cell r="O262">
            <v>50000</v>
          </cell>
        </row>
        <row r="263">
          <cell r="A263" t="str">
            <v>214</v>
          </cell>
          <cell r="B263" t="str">
            <v>ASPHALT VIC</v>
          </cell>
          <cell r="C263" t="str">
            <v>Montrose - Asphalt</v>
          </cell>
          <cell r="D263" t="str">
            <v>Canterbury Road</v>
          </cell>
          <cell r="E263" t="str">
            <v>Montrose</v>
          </cell>
          <cell r="F263" t="str">
            <v>3765</v>
          </cell>
          <cell r="G263" t="str">
            <v>Victoria</v>
          </cell>
          <cell r="H263" t="str">
            <v>Australia</v>
          </cell>
          <cell r="I263" t="str">
            <v>Not Applicable</v>
          </cell>
          <cell r="J263">
            <v>120000</v>
          </cell>
          <cell r="K263">
            <v>200000</v>
          </cell>
          <cell r="L263">
            <v>6500000</v>
          </cell>
          <cell r="M263">
            <v>50000</v>
          </cell>
          <cell r="N263">
            <v>2000000</v>
          </cell>
          <cell r="O263">
            <v>8870000</v>
          </cell>
        </row>
        <row r="264">
          <cell r="A264" t="str">
            <v>214</v>
          </cell>
          <cell r="B264" t="str">
            <v>ASPHALT VIC</v>
          </cell>
          <cell r="C264" t="str">
            <v>Morwell - Asphalt</v>
          </cell>
          <cell r="D264" t="str">
            <v>Princes Highway</v>
          </cell>
          <cell r="E264" t="str">
            <v>Morwell</v>
          </cell>
          <cell r="F264" t="str">
            <v>3840</v>
          </cell>
          <cell r="G264" t="str">
            <v>Victoria</v>
          </cell>
          <cell r="H264" t="str">
            <v>Australia</v>
          </cell>
          <cell r="I264" t="str">
            <v>Not Applicable</v>
          </cell>
          <cell r="J264">
            <v>25000</v>
          </cell>
          <cell r="K264">
            <v>50000</v>
          </cell>
          <cell r="L264">
            <v>2400000</v>
          </cell>
          <cell r="M264">
            <v>150000</v>
          </cell>
          <cell r="N264">
            <v>800000</v>
          </cell>
          <cell r="O264">
            <v>3425000</v>
          </cell>
        </row>
        <row r="265">
          <cell r="A265" t="str">
            <v>214</v>
          </cell>
          <cell r="B265" t="str">
            <v>ASPHALT VIC</v>
          </cell>
          <cell r="C265" t="str">
            <v>Williamstown - Asphalt</v>
          </cell>
          <cell r="D265" t="str">
            <v>91 Champion Road</v>
          </cell>
          <cell r="E265" t="str">
            <v>Williamstown</v>
          </cell>
          <cell r="F265" t="str">
            <v>3016</v>
          </cell>
          <cell r="G265" t="str">
            <v>Victoria</v>
          </cell>
          <cell r="H265" t="str">
            <v>Australia</v>
          </cell>
          <cell r="I265" t="str">
            <v>Not Applicable</v>
          </cell>
          <cell r="J265">
            <v>40000</v>
          </cell>
          <cell r="K265">
            <v>400000</v>
          </cell>
          <cell r="L265">
            <v>1300000</v>
          </cell>
          <cell r="M265">
            <v>50000</v>
          </cell>
          <cell r="N265">
            <v>250000</v>
          </cell>
          <cell r="O265">
            <v>2040000</v>
          </cell>
        </row>
        <row r="266">
          <cell r="A266" t="str">
            <v>215</v>
          </cell>
          <cell r="B266" t="str">
            <v>TRANSPORT VIC</v>
          </cell>
          <cell r="C266" t="str">
            <v>Transport - Dandenong</v>
          </cell>
          <cell r="D266" t="str">
            <v>80 South Gippsland</v>
          </cell>
          <cell r="E266" t="str">
            <v>Dandenong</v>
          </cell>
          <cell r="F266" t="str">
            <v>3175</v>
          </cell>
          <cell r="G266" t="str">
            <v>Victoria</v>
          </cell>
          <cell r="H266" t="str">
            <v>Australia</v>
          </cell>
          <cell r="I266" t="str">
            <v>Not Applicable</v>
          </cell>
          <cell r="J266">
            <v>0</v>
          </cell>
          <cell r="K266">
            <v>0</v>
          </cell>
          <cell r="L266">
            <v>0</v>
          </cell>
          <cell r="M266">
            <v>4500000</v>
          </cell>
          <cell r="N266">
            <v>0</v>
          </cell>
          <cell r="O266">
            <v>4500000</v>
          </cell>
        </row>
        <row r="267">
          <cell r="A267" t="str">
            <v>217</v>
          </cell>
          <cell r="B267" t="str">
            <v>BORAL RECYCLING VICTORIA</v>
          </cell>
          <cell r="C267" t="str">
            <v>Deer Park - Quarry End Use</v>
          </cell>
          <cell r="E267" t="str">
            <v>Deer Park</v>
          </cell>
          <cell r="G267" t="str">
            <v>Victoria</v>
          </cell>
          <cell r="H267" t="str">
            <v>Australia</v>
          </cell>
          <cell r="I267" t="str">
            <v>Not Applicable</v>
          </cell>
          <cell r="J267">
            <v>0</v>
          </cell>
          <cell r="K267">
            <v>30000</v>
          </cell>
          <cell r="L267">
            <v>25000</v>
          </cell>
          <cell r="M267">
            <v>0</v>
          </cell>
          <cell r="N267">
            <v>0</v>
          </cell>
          <cell r="O267">
            <v>55000</v>
          </cell>
        </row>
        <row r="268">
          <cell r="A268" t="str">
            <v>225</v>
          </cell>
          <cell r="B268" t="str">
            <v>BAYVIEW QUARRIES PTY LTD</v>
          </cell>
          <cell r="C268" t="str">
            <v>Bayview Quarries Pty Limited</v>
          </cell>
          <cell r="D268" t="str">
            <v>1 Glenferrie Road</v>
          </cell>
          <cell r="E268" t="str">
            <v>Malvern</v>
          </cell>
          <cell r="F268" t="str">
            <v>3144</v>
          </cell>
          <cell r="G268" t="str">
            <v>Victoria</v>
          </cell>
          <cell r="H268" t="str">
            <v>Australia</v>
          </cell>
          <cell r="I268" t="str">
            <v>Not Applicable</v>
          </cell>
          <cell r="J268">
            <v>0</v>
          </cell>
          <cell r="K268">
            <v>0</v>
          </cell>
          <cell r="L268">
            <v>0</v>
          </cell>
          <cell r="M268">
            <v>0</v>
          </cell>
          <cell r="N268">
            <v>0</v>
          </cell>
          <cell r="O268">
            <v>0</v>
          </cell>
        </row>
        <row r="269">
          <cell r="A269" t="str">
            <v>226</v>
          </cell>
          <cell r="B269" t="str">
            <v>DANDENONG QUARRIES PTY LTD</v>
          </cell>
          <cell r="C269" t="str">
            <v>Dandenong Quarries Pty Ltd</v>
          </cell>
          <cell r="D269" t="str">
            <v>Claredale Road</v>
          </cell>
          <cell r="E269" t="str">
            <v>Dandenong</v>
          </cell>
          <cell r="F269" t="str">
            <v>3168</v>
          </cell>
          <cell r="G269" t="str">
            <v>Victoria</v>
          </cell>
          <cell r="H269" t="str">
            <v>Australia</v>
          </cell>
          <cell r="I269" t="str">
            <v>Not Applicable</v>
          </cell>
          <cell r="J269">
            <v>0</v>
          </cell>
          <cell r="K269">
            <v>0</v>
          </cell>
          <cell r="L269">
            <v>0</v>
          </cell>
          <cell r="M269">
            <v>0</v>
          </cell>
          <cell r="N269">
            <v>0</v>
          </cell>
          <cell r="O269">
            <v>0</v>
          </cell>
        </row>
        <row r="270">
          <cell r="A270" t="str">
            <v>228</v>
          </cell>
          <cell r="B270" t="str">
            <v>ALSAFE PRE-MIX PTY LTD</v>
          </cell>
          <cell r="C270" t="str">
            <v>Carrum Downs</v>
          </cell>
          <cell r="D270" t="str">
            <v>22-24 (Lot 10) &amp; 26 (Lot 11) Frankston Gardens</v>
          </cell>
          <cell r="E270" t="str">
            <v>Carrum Downs</v>
          </cell>
          <cell r="F270" t="str">
            <v>3201</v>
          </cell>
          <cell r="G270" t="str">
            <v>Victoria</v>
          </cell>
          <cell r="H270" t="str">
            <v>Australia</v>
          </cell>
          <cell r="I270" t="str">
            <v>Not Applicable</v>
          </cell>
          <cell r="J270">
            <v>5000</v>
          </cell>
          <cell r="K270">
            <v>5000</v>
          </cell>
          <cell r="L270">
            <v>163500</v>
          </cell>
          <cell r="M270">
            <v>95000</v>
          </cell>
          <cell r="N270">
            <v>1750000</v>
          </cell>
          <cell r="O270">
            <v>2018500</v>
          </cell>
        </row>
        <row r="271">
          <cell r="A271" t="str">
            <v>228</v>
          </cell>
          <cell r="B271" t="str">
            <v>ALSAFE PRE-MIX PTY LTD</v>
          </cell>
          <cell r="C271" t="str">
            <v>Riddells Creek</v>
          </cell>
          <cell r="D271" t="str">
            <v>15 (Lot 2) Sutherlands Rd</v>
          </cell>
          <cell r="E271" t="str">
            <v>Riddells Creek</v>
          </cell>
          <cell r="F271" t="str">
            <v>3431</v>
          </cell>
          <cell r="G271" t="str">
            <v>Victoria</v>
          </cell>
          <cell r="H271" t="str">
            <v>Australia</v>
          </cell>
          <cell r="I271" t="str">
            <v>Not Applicable</v>
          </cell>
          <cell r="J271">
            <v>5000</v>
          </cell>
          <cell r="K271">
            <v>2000</v>
          </cell>
          <cell r="L271">
            <v>65400</v>
          </cell>
          <cell r="M271">
            <v>25900</v>
          </cell>
          <cell r="N271">
            <v>74000</v>
          </cell>
          <cell r="O271">
            <v>172300</v>
          </cell>
        </row>
        <row r="272">
          <cell r="A272" t="str">
            <v>228</v>
          </cell>
          <cell r="B272" t="str">
            <v>ALSAFE PRE-MIX PTY LTD</v>
          </cell>
          <cell r="C272" t="str">
            <v>Somerton</v>
          </cell>
          <cell r="D272" t="str">
            <v>26-28 (Lots 8&amp;9) Encore Ave</v>
          </cell>
          <cell r="E272" t="str">
            <v>Somerton</v>
          </cell>
          <cell r="F272" t="str">
            <v>3062</v>
          </cell>
          <cell r="G272" t="str">
            <v>Victoria</v>
          </cell>
          <cell r="H272" t="str">
            <v>Australia</v>
          </cell>
          <cell r="I272" t="str">
            <v>Not Applicable</v>
          </cell>
          <cell r="J272">
            <v>5000</v>
          </cell>
          <cell r="K272">
            <v>2000</v>
          </cell>
          <cell r="L272">
            <v>154000</v>
          </cell>
          <cell r="M272">
            <v>138000</v>
          </cell>
          <cell r="N272">
            <v>908000</v>
          </cell>
          <cell r="O272">
            <v>1207000</v>
          </cell>
        </row>
        <row r="273">
          <cell r="A273" t="str">
            <v>228</v>
          </cell>
          <cell r="B273" t="str">
            <v>ALSAFE PRE-MIX PTY LTD</v>
          </cell>
          <cell r="C273" t="str">
            <v>Sunshine - Ovens Court</v>
          </cell>
          <cell r="D273" t="str">
            <v>5-6 (Lot 28) Ovens Court</v>
          </cell>
          <cell r="E273" t="str">
            <v>Sunshine</v>
          </cell>
          <cell r="F273" t="str">
            <v>3020</v>
          </cell>
          <cell r="G273" t="str">
            <v>Victoria</v>
          </cell>
          <cell r="H273" t="str">
            <v>Australia</v>
          </cell>
          <cell r="I273" t="str">
            <v>Not Applicable</v>
          </cell>
          <cell r="J273">
            <v>5000</v>
          </cell>
          <cell r="K273">
            <v>2500</v>
          </cell>
          <cell r="L273">
            <v>145000</v>
          </cell>
          <cell r="M273">
            <v>138000</v>
          </cell>
          <cell r="N273">
            <v>945000</v>
          </cell>
          <cell r="O273">
            <v>1235500</v>
          </cell>
        </row>
        <row r="274">
          <cell r="A274" t="str">
            <v>228</v>
          </cell>
          <cell r="B274" t="str">
            <v>ALSAFE PRE-MIX PTY LTD</v>
          </cell>
          <cell r="C274" t="str">
            <v>Woodend</v>
          </cell>
          <cell r="D274" t="str">
            <v>Lot 1 Kronks Lane (known as Dryden Court)</v>
          </cell>
          <cell r="E274" t="str">
            <v>Woodend</v>
          </cell>
          <cell r="F274" t="str">
            <v>3442</v>
          </cell>
          <cell r="G274" t="str">
            <v>Victoria</v>
          </cell>
          <cell r="H274" t="str">
            <v>Australia</v>
          </cell>
          <cell r="I274" t="str">
            <v>Not Applicable</v>
          </cell>
          <cell r="J274">
            <v>5000</v>
          </cell>
          <cell r="K274">
            <v>0</v>
          </cell>
          <cell r="L274">
            <v>50000</v>
          </cell>
          <cell r="M274">
            <v>26000</v>
          </cell>
          <cell r="N274">
            <v>70000</v>
          </cell>
          <cell r="O274">
            <v>151000</v>
          </cell>
        </row>
        <row r="275">
          <cell r="A275" t="str">
            <v>230</v>
          </cell>
          <cell r="B275" t="str">
            <v>CONCRETE TAS</v>
          </cell>
          <cell r="C275" t="str">
            <v>Bridgewater Concrete Plant</v>
          </cell>
          <cell r="D275" t="str">
            <v>Midland Highway</v>
          </cell>
          <cell r="E275" t="str">
            <v>Bridgewater</v>
          </cell>
          <cell r="F275" t="str">
            <v>7030</v>
          </cell>
          <cell r="G275" t="str">
            <v>Tasmania</v>
          </cell>
          <cell r="H275" t="str">
            <v>Australia</v>
          </cell>
          <cell r="I275" t="str">
            <v>Not Applicable</v>
          </cell>
          <cell r="J275">
            <v>10000</v>
          </cell>
          <cell r="K275">
            <v>0</v>
          </cell>
          <cell r="L275">
            <v>380000</v>
          </cell>
          <cell r="M275">
            <v>0</v>
          </cell>
          <cell r="N275">
            <v>0</v>
          </cell>
          <cell r="O275">
            <v>390000</v>
          </cell>
        </row>
        <row r="276">
          <cell r="A276" t="str">
            <v>230</v>
          </cell>
          <cell r="B276" t="str">
            <v>CONCRETE TAS</v>
          </cell>
          <cell r="C276" t="str">
            <v>Devonport Concrete Plant</v>
          </cell>
          <cell r="D276" t="str">
            <v>Old Spreyton Road</v>
          </cell>
          <cell r="E276" t="str">
            <v>Devonport</v>
          </cell>
          <cell r="F276" t="str">
            <v>7310</v>
          </cell>
          <cell r="G276" t="str">
            <v>Tasmania</v>
          </cell>
          <cell r="H276" t="str">
            <v>Australia</v>
          </cell>
          <cell r="I276" t="str">
            <v>Not Applicable</v>
          </cell>
          <cell r="J276">
            <v>5000</v>
          </cell>
          <cell r="K276">
            <v>250000</v>
          </cell>
          <cell r="L276">
            <v>650000</v>
          </cell>
          <cell r="M276">
            <v>0</v>
          </cell>
          <cell r="N276">
            <v>0</v>
          </cell>
          <cell r="O276">
            <v>905000</v>
          </cell>
        </row>
        <row r="277">
          <cell r="A277" t="str">
            <v>230</v>
          </cell>
          <cell r="B277" t="str">
            <v>CONCRETE TAS</v>
          </cell>
          <cell r="C277" t="str">
            <v>Hobart Concrete</v>
          </cell>
          <cell r="D277" t="str">
            <v>Hobart Railway Yard</v>
          </cell>
          <cell r="E277" t="str">
            <v>Hobart</v>
          </cell>
          <cell r="F277" t="str">
            <v>7000</v>
          </cell>
          <cell r="G277" t="str">
            <v>Tasmania</v>
          </cell>
          <cell r="H277" t="str">
            <v>Australia</v>
          </cell>
          <cell r="I277" t="str">
            <v>Not Applicable</v>
          </cell>
          <cell r="J277">
            <v>35000</v>
          </cell>
          <cell r="K277">
            <v>75000</v>
          </cell>
          <cell r="L277">
            <v>3200000</v>
          </cell>
          <cell r="M277">
            <v>90000</v>
          </cell>
          <cell r="N277">
            <v>50000</v>
          </cell>
          <cell r="O277">
            <v>3450000</v>
          </cell>
        </row>
        <row r="278">
          <cell r="A278" t="str">
            <v>230</v>
          </cell>
          <cell r="B278" t="str">
            <v>CONCRETE TAS</v>
          </cell>
          <cell r="C278" t="str">
            <v>Launceston Concrete Plant</v>
          </cell>
          <cell r="D278" t="str">
            <v>61 Lindsay Street</v>
          </cell>
          <cell r="E278" t="str">
            <v>Launceston</v>
          </cell>
          <cell r="F278" t="str">
            <v>7250</v>
          </cell>
          <cell r="G278" t="str">
            <v>Tasmania</v>
          </cell>
          <cell r="H278" t="str">
            <v>Australia</v>
          </cell>
          <cell r="I278" t="str">
            <v>Not Applicable</v>
          </cell>
          <cell r="J278">
            <v>25000</v>
          </cell>
          <cell r="K278">
            <v>0</v>
          </cell>
          <cell r="L278">
            <v>3200000</v>
          </cell>
          <cell r="M278">
            <v>0</v>
          </cell>
          <cell r="N278">
            <v>50000</v>
          </cell>
          <cell r="O278">
            <v>3275000</v>
          </cell>
        </row>
        <row r="279">
          <cell r="A279" t="str">
            <v>230</v>
          </cell>
          <cell r="B279" t="str">
            <v>CONCRETE TAS</v>
          </cell>
          <cell r="C279" t="str">
            <v>Mobile Concrete Operations - Tas</v>
          </cell>
          <cell r="E279" t="str">
            <v>Various</v>
          </cell>
          <cell r="G279" t="str">
            <v>Tasmania</v>
          </cell>
          <cell r="H279" t="str">
            <v>Australia</v>
          </cell>
          <cell r="I279" t="str">
            <v>Not Applicable</v>
          </cell>
          <cell r="J279">
            <v>0</v>
          </cell>
          <cell r="K279">
            <v>0</v>
          </cell>
          <cell r="L279">
            <v>220000</v>
          </cell>
          <cell r="M279">
            <v>0</v>
          </cell>
          <cell r="N279">
            <v>0</v>
          </cell>
          <cell r="O279">
            <v>220000</v>
          </cell>
        </row>
        <row r="280">
          <cell r="A280" t="str">
            <v>230</v>
          </cell>
          <cell r="B280" t="str">
            <v>CONCRETE TAS</v>
          </cell>
          <cell r="C280" t="str">
            <v>Tasmanian Administration - CMG Tas</v>
          </cell>
          <cell r="D280" t="str">
            <v>37 The Esplanade</v>
          </cell>
          <cell r="E280" t="str">
            <v>Launceston</v>
          </cell>
          <cell r="F280" t="str">
            <v>7250</v>
          </cell>
          <cell r="G280" t="str">
            <v>Tasmania</v>
          </cell>
          <cell r="H280" t="str">
            <v>Australia</v>
          </cell>
          <cell r="I280" t="str">
            <v>Not Applicable</v>
          </cell>
          <cell r="J280">
            <v>0</v>
          </cell>
          <cell r="K280">
            <v>450000</v>
          </cell>
          <cell r="L280">
            <v>100000</v>
          </cell>
          <cell r="M280">
            <v>0</v>
          </cell>
          <cell r="N280">
            <v>200000</v>
          </cell>
          <cell r="O280">
            <v>750000</v>
          </cell>
        </row>
        <row r="281">
          <cell r="A281" t="str">
            <v>230</v>
          </cell>
          <cell r="B281" t="str">
            <v>CONCRETE TAS</v>
          </cell>
          <cell r="C281" t="str">
            <v>Technology Laboratory</v>
          </cell>
          <cell r="D281" t="str">
            <v>14 Pear Avenue</v>
          </cell>
          <cell r="E281" t="str">
            <v>Moonah</v>
          </cell>
          <cell r="F281" t="str">
            <v>7009</v>
          </cell>
          <cell r="G281" t="str">
            <v>Tasmania</v>
          </cell>
          <cell r="H281" t="str">
            <v>Australia</v>
          </cell>
          <cell r="I281" t="str">
            <v>Not Applicable</v>
          </cell>
          <cell r="J281">
            <v>0</v>
          </cell>
          <cell r="K281">
            <v>400000</v>
          </cell>
          <cell r="L281">
            <v>75000</v>
          </cell>
          <cell r="M281">
            <v>0</v>
          </cell>
          <cell r="N281">
            <v>50000</v>
          </cell>
          <cell r="O281">
            <v>525000</v>
          </cell>
        </row>
        <row r="282">
          <cell r="A282" t="str">
            <v>231</v>
          </cell>
          <cell r="B282" t="str">
            <v>QUARRIES TAS</v>
          </cell>
          <cell r="C282" t="str">
            <v>Bridgewater Quarry</v>
          </cell>
          <cell r="D282" t="str">
            <v>Midland Highway</v>
          </cell>
          <cell r="E282" t="str">
            <v>Bridgewater</v>
          </cell>
          <cell r="F282" t="str">
            <v>7353</v>
          </cell>
          <cell r="G282" t="str">
            <v>Tasmania</v>
          </cell>
          <cell r="H282" t="str">
            <v>Australia</v>
          </cell>
          <cell r="I282" t="str">
            <v>Not Applicable</v>
          </cell>
          <cell r="J282">
            <v>1450000</v>
          </cell>
          <cell r="K282">
            <v>500000</v>
          </cell>
          <cell r="L282">
            <v>1200000</v>
          </cell>
          <cell r="M282">
            <v>2500000</v>
          </cell>
          <cell r="N282">
            <v>2000000</v>
          </cell>
          <cell r="O282">
            <v>7650000</v>
          </cell>
        </row>
        <row r="283">
          <cell r="A283" t="str">
            <v>231</v>
          </cell>
          <cell r="B283" t="str">
            <v>QUARRIES TAS</v>
          </cell>
          <cell r="C283" t="str">
            <v>Feildwick Nook Quarry</v>
          </cell>
          <cell r="D283" t="str">
            <v>Nook Road</v>
          </cell>
          <cell r="E283" t="str">
            <v>Nook</v>
          </cell>
          <cell r="F283" t="str">
            <v>7306</v>
          </cell>
          <cell r="G283" t="str">
            <v>Tasmania</v>
          </cell>
          <cell r="H283" t="str">
            <v>Australia</v>
          </cell>
          <cell r="I283" t="str">
            <v>Not Applicable</v>
          </cell>
          <cell r="J283">
            <v>310000</v>
          </cell>
          <cell r="K283">
            <v>65000</v>
          </cell>
          <cell r="L283">
            <v>2200000</v>
          </cell>
          <cell r="M283">
            <v>0</v>
          </cell>
          <cell r="N283">
            <v>500000</v>
          </cell>
          <cell r="O283">
            <v>3075000</v>
          </cell>
        </row>
        <row r="284">
          <cell r="A284" t="str">
            <v>231</v>
          </cell>
          <cell r="B284" t="str">
            <v>QUARRIES TAS</v>
          </cell>
          <cell r="C284" t="str">
            <v>Flowery Gully Quarry</v>
          </cell>
          <cell r="D284" t="str">
            <v>Winkleigh Road</v>
          </cell>
          <cell r="E284" t="str">
            <v>Flowery Gully</v>
          </cell>
          <cell r="F284" t="str">
            <v>7270</v>
          </cell>
          <cell r="G284" t="str">
            <v>Tasmania</v>
          </cell>
          <cell r="H284" t="str">
            <v>Australia</v>
          </cell>
          <cell r="I284" t="str">
            <v>Not Applicable</v>
          </cell>
          <cell r="J284">
            <v>430000</v>
          </cell>
          <cell r="K284">
            <v>190000</v>
          </cell>
          <cell r="L284">
            <v>375000</v>
          </cell>
          <cell r="M284">
            <v>0</v>
          </cell>
          <cell r="N284">
            <v>500000</v>
          </cell>
          <cell r="O284">
            <v>1495000</v>
          </cell>
        </row>
        <row r="285">
          <cell r="A285" t="str">
            <v>231</v>
          </cell>
          <cell r="B285" t="str">
            <v>QUARRIES TAS</v>
          </cell>
          <cell r="C285" t="str">
            <v>Instant Concrete Operations</v>
          </cell>
          <cell r="D285" t="str">
            <v>Clydesdale Avenue</v>
          </cell>
          <cell r="E285" t="str">
            <v>Glenorchy</v>
          </cell>
          <cell r="F285" t="str">
            <v>7010</v>
          </cell>
          <cell r="G285" t="str">
            <v>Tasmania</v>
          </cell>
          <cell r="H285" t="str">
            <v>Australia</v>
          </cell>
          <cell r="I285" t="str">
            <v>Not Applicable</v>
          </cell>
          <cell r="J285">
            <v>15000</v>
          </cell>
          <cell r="K285">
            <v>0</v>
          </cell>
          <cell r="L285">
            <v>0</v>
          </cell>
          <cell r="M285">
            <v>0</v>
          </cell>
          <cell r="N285">
            <v>10000</v>
          </cell>
          <cell r="O285">
            <v>25000</v>
          </cell>
        </row>
        <row r="286">
          <cell r="A286" t="str">
            <v>231</v>
          </cell>
          <cell r="B286" t="str">
            <v>QUARRIES TAS</v>
          </cell>
          <cell r="C286" t="str">
            <v>Launceston Quarry</v>
          </cell>
          <cell r="D286" t="str">
            <v>Remount Road</v>
          </cell>
          <cell r="E286" t="str">
            <v>Launceston</v>
          </cell>
          <cell r="F286" t="str">
            <v>7250</v>
          </cell>
          <cell r="G286" t="str">
            <v>Tasmania</v>
          </cell>
          <cell r="H286" t="str">
            <v>Australia</v>
          </cell>
          <cell r="I286" t="str">
            <v>Not Applicable</v>
          </cell>
          <cell r="J286">
            <v>1125000</v>
          </cell>
          <cell r="K286">
            <v>420000</v>
          </cell>
          <cell r="L286">
            <v>5700000</v>
          </cell>
          <cell r="M286">
            <v>1050000</v>
          </cell>
          <cell r="N286">
            <v>500000</v>
          </cell>
          <cell r="O286">
            <v>8795000</v>
          </cell>
        </row>
        <row r="287">
          <cell r="A287" t="str">
            <v>231</v>
          </cell>
          <cell r="B287" t="str">
            <v>QUARRIES TAS</v>
          </cell>
          <cell r="C287" t="str">
            <v>South Arm Pit Sand Operations</v>
          </cell>
          <cell r="E287" t="str">
            <v>South Arm</v>
          </cell>
          <cell r="F287" t="str">
            <v>7022</v>
          </cell>
          <cell r="G287" t="str">
            <v>Tasmania</v>
          </cell>
          <cell r="H287" t="str">
            <v>Australia</v>
          </cell>
          <cell r="I287" t="str">
            <v>Not Applicable</v>
          </cell>
          <cell r="J287">
            <v>15000</v>
          </cell>
          <cell r="K287">
            <v>10000</v>
          </cell>
          <cell r="L287">
            <v>0</v>
          </cell>
          <cell r="M287">
            <v>0</v>
          </cell>
          <cell r="N287">
            <v>50000</v>
          </cell>
          <cell r="O287">
            <v>75000</v>
          </cell>
        </row>
        <row r="288">
          <cell r="A288" t="str">
            <v>233</v>
          </cell>
          <cell r="B288" t="str">
            <v>TRANSPORT TAS</v>
          </cell>
          <cell r="C288" t="str">
            <v>Transport Tas</v>
          </cell>
          <cell r="E288" t="str">
            <v>Malvern</v>
          </cell>
          <cell r="F288" t="str">
            <v>3000</v>
          </cell>
          <cell r="G288" t="str">
            <v>Victoria</v>
          </cell>
          <cell r="H288" t="str">
            <v>Australia</v>
          </cell>
          <cell r="I288" t="str">
            <v>Not Applicable</v>
          </cell>
          <cell r="J288">
            <v>0</v>
          </cell>
          <cell r="K288">
            <v>0</v>
          </cell>
          <cell r="L288">
            <v>190000</v>
          </cell>
          <cell r="M288">
            <v>0</v>
          </cell>
          <cell r="N288">
            <v>50000</v>
          </cell>
          <cell r="O288">
            <v>240000</v>
          </cell>
        </row>
        <row r="289">
          <cell r="A289" t="str">
            <v>240</v>
          </cell>
          <cell r="B289" t="str">
            <v>TRANSPORT WA</v>
          </cell>
          <cell r="C289" t="str">
            <v>Kwinana - Transport</v>
          </cell>
          <cell r="D289" t="str">
            <v>Richardson Street</v>
          </cell>
          <cell r="E289" t="str">
            <v>Kwinana</v>
          </cell>
          <cell r="F289" t="str">
            <v>6166</v>
          </cell>
          <cell r="G289" t="str">
            <v>Western Australia</v>
          </cell>
          <cell r="H289" t="str">
            <v>Australia</v>
          </cell>
          <cell r="I289" t="str">
            <v>Not Applicable</v>
          </cell>
          <cell r="J289">
            <v>25000</v>
          </cell>
          <cell r="K289">
            <v>0</v>
          </cell>
          <cell r="L289">
            <v>25000</v>
          </cell>
          <cell r="M289">
            <v>0</v>
          </cell>
          <cell r="N289">
            <v>1950000</v>
          </cell>
          <cell r="O289">
            <v>2000000</v>
          </cell>
        </row>
        <row r="290">
          <cell r="A290" t="str">
            <v>240</v>
          </cell>
          <cell r="B290" t="str">
            <v>TRANSPORT WA</v>
          </cell>
          <cell r="C290" t="str">
            <v>Orange Grove - CMG Transport WA</v>
          </cell>
          <cell r="D290" t="str">
            <v>15 Stephen Street</v>
          </cell>
          <cell r="E290" t="str">
            <v>Orange Grove</v>
          </cell>
          <cell r="F290" t="str">
            <v>6109</v>
          </cell>
          <cell r="G290" t="str">
            <v>Western Australia</v>
          </cell>
          <cell r="H290" t="str">
            <v>Australia</v>
          </cell>
          <cell r="I290" t="str">
            <v>Not Applicable</v>
          </cell>
          <cell r="J290">
            <v>25000</v>
          </cell>
          <cell r="K290">
            <v>350000</v>
          </cell>
          <cell r="L290">
            <v>230000</v>
          </cell>
          <cell r="M290">
            <v>0</v>
          </cell>
          <cell r="N290">
            <v>3000000</v>
          </cell>
          <cell r="O290">
            <v>3605000</v>
          </cell>
        </row>
        <row r="291">
          <cell r="A291" t="str">
            <v>241</v>
          </cell>
          <cell r="B291" t="str">
            <v>QUARRIES WA</v>
          </cell>
          <cell r="C291" t="str">
            <v>Karratha - CMG Quarries WA</v>
          </cell>
          <cell r="D291" t="str">
            <v>Mooligunn Road</v>
          </cell>
          <cell r="E291" t="str">
            <v>Karratha</v>
          </cell>
          <cell r="F291" t="str">
            <v>6714</v>
          </cell>
          <cell r="G291" t="str">
            <v>Western Australia</v>
          </cell>
          <cell r="H291" t="str">
            <v>Australia</v>
          </cell>
          <cell r="I291" t="str">
            <v>Not Applicable</v>
          </cell>
          <cell r="J291">
            <v>970000</v>
          </cell>
          <cell r="K291">
            <v>0</v>
          </cell>
          <cell r="L291">
            <v>0</v>
          </cell>
          <cell r="M291">
            <v>0</v>
          </cell>
          <cell r="N291">
            <v>4000</v>
          </cell>
          <cell r="O291">
            <v>974000</v>
          </cell>
        </row>
        <row r="292">
          <cell r="A292" t="str">
            <v>241</v>
          </cell>
          <cell r="B292" t="str">
            <v>QUARRIES WA</v>
          </cell>
          <cell r="C292" t="str">
            <v>Narrogin - Quarries WA</v>
          </cell>
          <cell r="F292" t="str">
            <v>6312</v>
          </cell>
          <cell r="G292" t="str">
            <v>Western Australia</v>
          </cell>
          <cell r="H292" t="str">
            <v>Australia</v>
          </cell>
          <cell r="I292" t="str">
            <v>Not Applicable</v>
          </cell>
          <cell r="J292">
            <v>250000</v>
          </cell>
          <cell r="K292">
            <v>0</v>
          </cell>
          <cell r="L292">
            <v>20000</v>
          </cell>
          <cell r="M292">
            <v>220000</v>
          </cell>
          <cell r="N292">
            <v>4000</v>
          </cell>
          <cell r="O292">
            <v>494000</v>
          </cell>
        </row>
        <row r="293">
          <cell r="A293" t="str">
            <v>241</v>
          </cell>
          <cell r="B293" t="str">
            <v>QUARRIES WA</v>
          </cell>
          <cell r="C293" t="str">
            <v>Orange Grove - CMG Quarries WA</v>
          </cell>
          <cell r="D293" t="str">
            <v>Stephen Street</v>
          </cell>
          <cell r="E293" t="str">
            <v>Orange Grove</v>
          </cell>
          <cell r="F293" t="str">
            <v>6109</v>
          </cell>
          <cell r="G293" t="str">
            <v>Western Australia</v>
          </cell>
          <cell r="H293" t="str">
            <v>Australia</v>
          </cell>
          <cell r="I293" t="str">
            <v>Not Applicable</v>
          </cell>
          <cell r="J293">
            <v>600000</v>
          </cell>
          <cell r="K293">
            <v>260000</v>
          </cell>
          <cell r="L293">
            <v>13000000</v>
          </cell>
          <cell r="M293">
            <v>3800000</v>
          </cell>
          <cell r="N293">
            <v>6200000</v>
          </cell>
          <cell r="O293">
            <v>23860000</v>
          </cell>
        </row>
        <row r="294">
          <cell r="A294" t="str">
            <v>241</v>
          </cell>
          <cell r="B294" t="str">
            <v>QUARRIES WA</v>
          </cell>
          <cell r="C294" t="str">
            <v>Port Hedland - CMG Quarries WA</v>
          </cell>
          <cell r="D294" t="str">
            <v>Cajarina Road</v>
          </cell>
          <cell r="E294" t="str">
            <v>Port Hedland</v>
          </cell>
          <cell r="F294" t="str">
            <v>6721</v>
          </cell>
          <cell r="G294" t="str">
            <v>Western Australia</v>
          </cell>
          <cell r="H294" t="str">
            <v>Australia</v>
          </cell>
          <cell r="I294" t="str">
            <v>Not Applicable</v>
          </cell>
          <cell r="J294">
            <v>1500000</v>
          </cell>
          <cell r="K294">
            <v>0</v>
          </cell>
          <cell r="L294">
            <v>0</v>
          </cell>
          <cell r="M294">
            <v>0</v>
          </cell>
          <cell r="N294">
            <v>4000</v>
          </cell>
          <cell r="O294">
            <v>1504000</v>
          </cell>
        </row>
        <row r="295">
          <cell r="A295" t="str">
            <v>241</v>
          </cell>
          <cell r="B295" t="str">
            <v>QUARRIES WA</v>
          </cell>
          <cell r="C295" t="str">
            <v>Toodyay - Quarries WA</v>
          </cell>
          <cell r="E295" t="str">
            <v>Toodyay</v>
          </cell>
          <cell r="F295" t="str">
            <v>6566</v>
          </cell>
          <cell r="G295" t="str">
            <v>Western Australia</v>
          </cell>
          <cell r="H295" t="str">
            <v>Australia</v>
          </cell>
          <cell r="I295" t="str">
            <v>Not Applicable</v>
          </cell>
          <cell r="J295">
            <v>16000</v>
          </cell>
          <cell r="K295">
            <v>5000</v>
          </cell>
          <cell r="L295">
            <v>12000</v>
          </cell>
          <cell r="M295">
            <v>0</v>
          </cell>
          <cell r="N295">
            <v>8000</v>
          </cell>
          <cell r="O295">
            <v>41000</v>
          </cell>
        </row>
        <row r="296">
          <cell r="A296" t="str">
            <v>242</v>
          </cell>
          <cell r="B296" t="str">
            <v>CONCRETE WA</v>
          </cell>
          <cell r="C296" t="str">
            <v>Bayswater Batch Plant - CMG Quarries WA</v>
          </cell>
          <cell r="D296" t="str">
            <v>21 King Street</v>
          </cell>
          <cell r="E296" t="str">
            <v>Bayswater</v>
          </cell>
          <cell r="F296" t="str">
            <v>6053</v>
          </cell>
          <cell r="G296" t="str">
            <v>Western Australia</v>
          </cell>
          <cell r="H296" t="str">
            <v>Australia</v>
          </cell>
          <cell r="I296" t="str">
            <v>Not Applicable</v>
          </cell>
          <cell r="J296">
            <v>30000</v>
          </cell>
          <cell r="K296">
            <v>50000</v>
          </cell>
          <cell r="L296">
            <v>1024000</v>
          </cell>
          <cell r="M296">
            <v>945000</v>
          </cell>
          <cell r="N296">
            <v>58000</v>
          </cell>
          <cell r="O296">
            <v>2107000</v>
          </cell>
        </row>
        <row r="297">
          <cell r="A297" t="str">
            <v>242</v>
          </cell>
          <cell r="B297" t="str">
            <v>CONCRETE WA</v>
          </cell>
          <cell r="C297" t="str">
            <v>Canning Vale Batch Plant - CMG Concrete WA</v>
          </cell>
          <cell r="D297" t="str">
            <v>1 Coulson Way</v>
          </cell>
          <cell r="E297" t="str">
            <v>Canning Vale</v>
          </cell>
          <cell r="F297" t="str">
            <v>6155</v>
          </cell>
          <cell r="G297" t="str">
            <v>Western Australia</v>
          </cell>
          <cell r="H297" t="str">
            <v>Australia</v>
          </cell>
          <cell r="I297" t="str">
            <v>Not Applicable</v>
          </cell>
          <cell r="J297">
            <v>24000</v>
          </cell>
          <cell r="K297">
            <v>50000</v>
          </cell>
          <cell r="L297">
            <v>178000</v>
          </cell>
          <cell r="M297">
            <v>463000</v>
          </cell>
          <cell r="N297">
            <v>90000</v>
          </cell>
          <cell r="O297">
            <v>805000</v>
          </cell>
        </row>
        <row r="298">
          <cell r="A298" t="str">
            <v>242</v>
          </cell>
          <cell r="B298" t="str">
            <v>CONCRETE WA</v>
          </cell>
          <cell r="C298" t="str">
            <v>Kalgoorlie Batch Plant - CMG Concrete WA</v>
          </cell>
          <cell r="D298" t="str">
            <v>30 Great Eastern Highway</v>
          </cell>
          <cell r="E298" t="str">
            <v>Kalgoorlie</v>
          </cell>
          <cell r="F298" t="str">
            <v>6430</v>
          </cell>
          <cell r="G298" t="str">
            <v>Western Australia</v>
          </cell>
          <cell r="H298" t="str">
            <v>Australia</v>
          </cell>
          <cell r="I298" t="str">
            <v>Not Applicable</v>
          </cell>
          <cell r="J298">
            <v>74000</v>
          </cell>
          <cell r="K298">
            <v>0</v>
          </cell>
          <cell r="L298">
            <v>146000</v>
          </cell>
          <cell r="M298">
            <v>899000</v>
          </cell>
          <cell r="N298">
            <v>20000</v>
          </cell>
          <cell r="O298">
            <v>1139000</v>
          </cell>
        </row>
        <row r="299">
          <cell r="A299" t="str">
            <v>242</v>
          </cell>
          <cell r="B299" t="str">
            <v>CONCRETE WA</v>
          </cell>
          <cell r="C299" t="str">
            <v>Mandurah Batch Plant</v>
          </cell>
          <cell r="D299" t="str">
            <v>23 Rouse Road</v>
          </cell>
          <cell r="E299" t="str">
            <v>Mandurah</v>
          </cell>
          <cell r="F299" t="str">
            <v>6210</v>
          </cell>
          <cell r="G299" t="str">
            <v>Western Australia</v>
          </cell>
          <cell r="H299" t="str">
            <v>Australia</v>
          </cell>
          <cell r="I299" t="str">
            <v>Not Applicable</v>
          </cell>
          <cell r="J299">
            <v>25000</v>
          </cell>
          <cell r="K299">
            <v>100000</v>
          </cell>
          <cell r="L299">
            <v>574000</v>
          </cell>
          <cell r="M299">
            <v>747000</v>
          </cell>
          <cell r="N299">
            <v>10000</v>
          </cell>
          <cell r="O299">
            <v>1456000</v>
          </cell>
        </row>
        <row r="300">
          <cell r="A300" t="str">
            <v>242</v>
          </cell>
          <cell r="B300" t="str">
            <v>CONCRETE WA</v>
          </cell>
          <cell r="C300" t="str">
            <v>Neerabup Batch Plant</v>
          </cell>
          <cell r="D300" t="str">
            <v>32 Turnbull Road</v>
          </cell>
          <cell r="E300" t="str">
            <v>Neerabup</v>
          </cell>
          <cell r="F300" t="str">
            <v>6031</v>
          </cell>
          <cell r="G300" t="str">
            <v>Western Australia</v>
          </cell>
          <cell r="H300" t="str">
            <v>Australia</v>
          </cell>
          <cell r="I300" t="str">
            <v>Not Applicable</v>
          </cell>
          <cell r="J300">
            <v>18000</v>
          </cell>
          <cell r="K300">
            <v>30000</v>
          </cell>
          <cell r="L300">
            <v>250000</v>
          </cell>
          <cell r="M300">
            <v>70000</v>
          </cell>
          <cell r="N300">
            <v>10000</v>
          </cell>
          <cell r="O300">
            <v>378000</v>
          </cell>
        </row>
        <row r="301">
          <cell r="A301" t="str">
            <v>242</v>
          </cell>
          <cell r="B301" t="str">
            <v>CONCRETE WA</v>
          </cell>
          <cell r="C301" t="str">
            <v>Osborne Park Batch Plant</v>
          </cell>
          <cell r="D301" t="str">
            <v>29 Hector Street</v>
          </cell>
          <cell r="E301" t="str">
            <v>Osborne Park</v>
          </cell>
          <cell r="F301" t="str">
            <v>6017</v>
          </cell>
          <cell r="G301" t="str">
            <v>Western Australia</v>
          </cell>
          <cell r="H301" t="str">
            <v>Australia</v>
          </cell>
          <cell r="I301" t="str">
            <v>Not Applicable</v>
          </cell>
          <cell r="J301">
            <v>26700</v>
          </cell>
          <cell r="K301">
            <v>50000</v>
          </cell>
          <cell r="L301">
            <v>1744000</v>
          </cell>
          <cell r="M301">
            <v>451000</v>
          </cell>
          <cell r="N301">
            <v>74000</v>
          </cell>
          <cell r="O301">
            <v>2345700</v>
          </cell>
        </row>
        <row r="302">
          <cell r="A302" t="str">
            <v>242</v>
          </cell>
          <cell r="B302" t="str">
            <v>CONCRETE WA</v>
          </cell>
          <cell r="C302" t="str">
            <v>Pinjarra Batch Plant</v>
          </cell>
          <cell r="D302" t="str">
            <v>Baker Street</v>
          </cell>
          <cell r="E302" t="str">
            <v>Pinjarra</v>
          </cell>
          <cell r="F302" t="str">
            <v>6208</v>
          </cell>
          <cell r="G302" t="str">
            <v>Western Australia</v>
          </cell>
          <cell r="H302" t="str">
            <v>Australia</v>
          </cell>
          <cell r="I302" t="str">
            <v>Not Applicable</v>
          </cell>
          <cell r="J302">
            <v>10000</v>
          </cell>
          <cell r="K302">
            <v>30000</v>
          </cell>
          <cell r="L302">
            <v>272000</v>
          </cell>
          <cell r="M302">
            <v>115000</v>
          </cell>
          <cell r="N302">
            <v>0</v>
          </cell>
          <cell r="O302">
            <v>427000</v>
          </cell>
        </row>
        <row r="303">
          <cell r="A303" t="str">
            <v>242</v>
          </cell>
          <cell r="B303" t="str">
            <v>CONCRETE WA</v>
          </cell>
          <cell r="C303" t="str">
            <v>Rockingham Batch Plant</v>
          </cell>
          <cell r="D303" t="str">
            <v>18 Crompton Road</v>
          </cell>
          <cell r="E303" t="str">
            <v>Rockingham</v>
          </cell>
          <cell r="F303" t="str">
            <v>6168</v>
          </cell>
          <cell r="G303" t="str">
            <v>Western Australia</v>
          </cell>
          <cell r="H303" t="str">
            <v>Australia</v>
          </cell>
          <cell r="I303" t="str">
            <v>Not Applicable</v>
          </cell>
          <cell r="J303">
            <v>21500</v>
          </cell>
          <cell r="K303">
            <v>40000</v>
          </cell>
          <cell r="L303">
            <v>321000</v>
          </cell>
          <cell r="M303">
            <v>279000</v>
          </cell>
          <cell r="N303">
            <v>60000</v>
          </cell>
          <cell r="O303">
            <v>721500</v>
          </cell>
        </row>
        <row r="304">
          <cell r="A304" t="str">
            <v>242</v>
          </cell>
          <cell r="B304" t="str">
            <v>CONCRETE WA</v>
          </cell>
          <cell r="C304" t="str">
            <v>Spearwood Batch Plant</v>
          </cell>
          <cell r="D304" t="str">
            <v>L13 Spearwood Avenue</v>
          </cell>
          <cell r="E304" t="str">
            <v>Spearwood</v>
          </cell>
          <cell r="F304" t="str">
            <v>6163</v>
          </cell>
          <cell r="G304" t="str">
            <v>Western Australia</v>
          </cell>
          <cell r="H304" t="str">
            <v>Australia</v>
          </cell>
          <cell r="I304" t="str">
            <v>Not Applicable</v>
          </cell>
          <cell r="J304">
            <v>26000</v>
          </cell>
          <cell r="K304">
            <v>70000</v>
          </cell>
          <cell r="L304">
            <v>634000</v>
          </cell>
          <cell r="M304">
            <v>351000</v>
          </cell>
          <cell r="N304">
            <v>60000</v>
          </cell>
          <cell r="O304">
            <v>1141000</v>
          </cell>
        </row>
        <row r="305">
          <cell r="A305" t="str">
            <v>242</v>
          </cell>
          <cell r="B305" t="str">
            <v>CONCRETE WA</v>
          </cell>
          <cell r="C305" t="str">
            <v>Wagerup Batch Plant</v>
          </cell>
          <cell r="D305" t="str">
            <v>C/O Construction Department Alcoa Refinery</v>
          </cell>
          <cell r="E305" t="str">
            <v>Wagerup</v>
          </cell>
          <cell r="G305" t="str">
            <v>Western Australia</v>
          </cell>
          <cell r="H305" t="str">
            <v>Australia</v>
          </cell>
          <cell r="I305" t="str">
            <v>Not Applicable</v>
          </cell>
          <cell r="J305">
            <v>19000</v>
          </cell>
          <cell r="K305">
            <v>0</v>
          </cell>
          <cell r="L305">
            <v>133000</v>
          </cell>
          <cell r="M305">
            <v>378000</v>
          </cell>
          <cell r="N305">
            <v>17000</v>
          </cell>
          <cell r="O305">
            <v>547000</v>
          </cell>
        </row>
        <row r="306">
          <cell r="A306" t="str">
            <v>242</v>
          </cell>
          <cell r="B306" t="str">
            <v>CONCRETE WA</v>
          </cell>
          <cell r="C306" t="str">
            <v>Wanneroo Batch Plant - CMG Quarries WA</v>
          </cell>
          <cell r="D306" t="str">
            <v>274 Gnangara Road</v>
          </cell>
          <cell r="E306" t="str">
            <v>Wanneroo</v>
          </cell>
          <cell r="F306" t="str">
            <v>6065</v>
          </cell>
          <cell r="G306" t="str">
            <v>Western Australia</v>
          </cell>
          <cell r="H306" t="str">
            <v>Australia</v>
          </cell>
          <cell r="I306" t="str">
            <v>Not Applicable</v>
          </cell>
          <cell r="J306">
            <v>20000</v>
          </cell>
          <cell r="K306">
            <v>70000</v>
          </cell>
          <cell r="L306">
            <v>178000</v>
          </cell>
          <cell r="M306">
            <v>556000</v>
          </cell>
          <cell r="N306">
            <v>50000</v>
          </cell>
          <cell r="O306">
            <v>874000</v>
          </cell>
        </row>
        <row r="307">
          <cell r="A307" t="str">
            <v>243</v>
          </cell>
          <cell r="B307" t="str">
            <v>ASPHALT WA</v>
          </cell>
          <cell r="C307" t="str">
            <v>Boral Asphalt - Kalgoorlie</v>
          </cell>
          <cell r="D307" t="str">
            <v>Craig Road West</v>
          </cell>
          <cell r="E307" t="str">
            <v>Kalgoorlie</v>
          </cell>
          <cell r="F307" t="str">
            <v>6430</v>
          </cell>
          <cell r="G307" t="str">
            <v>Western Australia</v>
          </cell>
          <cell r="H307" t="str">
            <v>Australia</v>
          </cell>
          <cell r="I307" t="str">
            <v>Not Applicable</v>
          </cell>
          <cell r="J307">
            <v>40000</v>
          </cell>
          <cell r="K307">
            <v>125000</v>
          </cell>
          <cell r="L307">
            <v>504000</v>
          </cell>
          <cell r="M307">
            <v>0</v>
          </cell>
          <cell r="N307">
            <v>145000</v>
          </cell>
          <cell r="O307">
            <v>814000</v>
          </cell>
        </row>
        <row r="308">
          <cell r="A308" t="str">
            <v>243</v>
          </cell>
          <cell r="B308" t="str">
            <v>ASPHALT WA</v>
          </cell>
          <cell r="C308" t="str">
            <v>Boral Asphalt - Welshpool</v>
          </cell>
          <cell r="D308" t="str">
            <v>90 Mcdowell St</v>
          </cell>
          <cell r="E308" t="str">
            <v>Welshpool</v>
          </cell>
          <cell r="F308" t="str">
            <v>6106</v>
          </cell>
          <cell r="G308" t="str">
            <v>Western Australia</v>
          </cell>
          <cell r="H308" t="str">
            <v>Australia</v>
          </cell>
          <cell r="I308" t="str">
            <v>Not Applicable</v>
          </cell>
          <cell r="J308">
            <v>250000</v>
          </cell>
          <cell r="K308">
            <v>370000</v>
          </cell>
          <cell r="L308">
            <v>1900000</v>
          </cell>
          <cell r="M308">
            <v>0</v>
          </cell>
          <cell r="N308">
            <v>750000</v>
          </cell>
          <cell r="O308">
            <v>3270000</v>
          </cell>
        </row>
        <row r="309">
          <cell r="A309" t="str">
            <v>243</v>
          </cell>
          <cell r="B309" t="str">
            <v>ASPHALT WA</v>
          </cell>
          <cell r="C309" t="str">
            <v>Port Hedland - Asphalt WA</v>
          </cell>
          <cell r="D309" t="str">
            <v>Cajarina Road</v>
          </cell>
          <cell r="E309" t="str">
            <v>Port Hedland</v>
          </cell>
          <cell r="F309" t="str">
            <v>6721</v>
          </cell>
          <cell r="G309" t="str">
            <v>Western Australia</v>
          </cell>
          <cell r="H309" t="str">
            <v>Australia</v>
          </cell>
          <cell r="I309" t="str">
            <v>Not Applicable</v>
          </cell>
          <cell r="J309">
            <v>0</v>
          </cell>
          <cell r="K309">
            <v>238000</v>
          </cell>
          <cell r="L309">
            <v>0</v>
          </cell>
          <cell r="M309">
            <v>1100000</v>
          </cell>
          <cell r="N309">
            <v>0</v>
          </cell>
          <cell r="O309">
            <v>1338000</v>
          </cell>
        </row>
        <row r="310">
          <cell r="A310" t="str">
            <v>246</v>
          </cell>
          <cell r="B310" t="str">
            <v>CONCRETE SERVICES</v>
          </cell>
          <cell r="C310" t="str">
            <v>Concrete Services Office</v>
          </cell>
          <cell r="D310" t="str">
            <v>63-69 Abernethy Rd</v>
          </cell>
          <cell r="E310" t="str">
            <v>Belmont</v>
          </cell>
          <cell r="F310" t="str">
            <v>6104</v>
          </cell>
          <cell r="G310" t="str">
            <v>Western Australia</v>
          </cell>
          <cell r="H310" t="str">
            <v>Australia</v>
          </cell>
          <cell r="I310" t="str">
            <v>Not Applicable</v>
          </cell>
          <cell r="J310">
            <v>0</v>
          </cell>
          <cell r="K310">
            <v>0</v>
          </cell>
          <cell r="L310">
            <v>0</v>
          </cell>
          <cell r="M310">
            <v>0</v>
          </cell>
          <cell r="N310">
            <v>0</v>
          </cell>
          <cell r="O310">
            <v>0</v>
          </cell>
        </row>
        <row r="311">
          <cell r="A311" t="str">
            <v>250</v>
          </cell>
          <cell r="B311" t="str">
            <v>BORAL CONTRACTING PTY LTD</v>
          </cell>
          <cell r="C311" t="str">
            <v>Cooljarloo Minesite</v>
          </cell>
          <cell r="D311" t="str">
            <v>Cataby Mine Site</v>
          </cell>
          <cell r="E311" t="str">
            <v>Cooljarloo</v>
          </cell>
          <cell r="F311" t="str">
            <v>6509</v>
          </cell>
          <cell r="G311" t="str">
            <v>Western Australia</v>
          </cell>
          <cell r="H311" t="str">
            <v>Australia</v>
          </cell>
          <cell r="I311" t="str">
            <v>Not Applicable</v>
          </cell>
          <cell r="J311">
            <v>707378</v>
          </cell>
          <cell r="K311">
            <v>250000</v>
          </cell>
          <cell r="L311">
            <v>100000</v>
          </cell>
          <cell r="M311">
            <v>13149597</v>
          </cell>
          <cell r="N311">
            <v>25000000</v>
          </cell>
          <cell r="O311">
            <v>39206975</v>
          </cell>
        </row>
        <row r="312">
          <cell r="A312" t="str">
            <v>260</v>
          </cell>
          <cell r="B312" t="str">
            <v>ASPHALT QLD</v>
          </cell>
          <cell r="C312" t="str">
            <v>Bundaberg - Asphalt</v>
          </cell>
          <cell r="D312" t="str">
            <v>Production Street</v>
          </cell>
          <cell r="E312" t="str">
            <v>Bundaberg</v>
          </cell>
          <cell r="F312" t="str">
            <v>4670</v>
          </cell>
          <cell r="G312" t="str">
            <v>Queensland</v>
          </cell>
          <cell r="H312" t="str">
            <v>Australia</v>
          </cell>
          <cell r="I312" t="str">
            <v>Not Applicable</v>
          </cell>
          <cell r="J312">
            <v>100000</v>
          </cell>
          <cell r="K312">
            <v>250000</v>
          </cell>
          <cell r="L312">
            <v>2100000</v>
          </cell>
          <cell r="M312">
            <v>1230000</v>
          </cell>
          <cell r="N312">
            <v>700000</v>
          </cell>
          <cell r="O312">
            <v>4380000</v>
          </cell>
        </row>
        <row r="313">
          <cell r="A313" t="str">
            <v>260</v>
          </cell>
          <cell r="B313" t="str">
            <v>ASPHALT QLD</v>
          </cell>
          <cell r="C313" t="str">
            <v>Cairns - Asphalt</v>
          </cell>
          <cell r="D313" t="str">
            <v>Aumuller Street</v>
          </cell>
          <cell r="E313" t="str">
            <v>Cairns</v>
          </cell>
          <cell r="F313" t="str">
            <v>4870</v>
          </cell>
          <cell r="G313" t="str">
            <v>Queensland</v>
          </cell>
          <cell r="H313" t="str">
            <v>Australia</v>
          </cell>
          <cell r="I313" t="str">
            <v>Not Applicable</v>
          </cell>
          <cell r="J313">
            <v>161000</v>
          </cell>
          <cell r="K313">
            <v>900000</v>
          </cell>
          <cell r="L313">
            <v>2200000</v>
          </cell>
          <cell r="M313">
            <v>450000</v>
          </cell>
          <cell r="N313">
            <v>1300000</v>
          </cell>
          <cell r="O313">
            <v>5011000</v>
          </cell>
        </row>
        <row r="314">
          <cell r="A314" t="str">
            <v>260</v>
          </cell>
          <cell r="B314" t="str">
            <v>ASPHALT QLD</v>
          </cell>
          <cell r="C314" t="str">
            <v>Hervey Bay - Apshalt</v>
          </cell>
          <cell r="D314" t="str">
            <v>Lower Mtn Road</v>
          </cell>
          <cell r="E314" t="str">
            <v>Hervey Bay</v>
          </cell>
          <cell r="F314" t="str">
            <v>4655</v>
          </cell>
          <cell r="G314" t="str">
            <v>Queensland</v>
          </cell>
          <cell r="H314" t="str">
            <v>Australia</v>
          </cell>
          <cell r="I314" t="str">
            <v>Not Applicable</v>
          </cell>
          <cell r="J314">
            <v>70000</v>
          </cell>
          <cell r="K314">
            <v>100000</v>
          </cell>
          <cell r="L314">
            <v>2300000</v>
          </cell>
          <cell r="M314">
            <v>200000</v>
          </cell>
          <cell r="N314">
            <v>400000</v>
          </cell>
          <cell r="O314">
            <v>3070000</v>
          </cell>
        </row>
        <row r="315">
          <cell r="A315" t="str">
            <v>260</v>
          </cell>
          <cell r="B315" t="str">
            <v>ASPHALT QLD</v>
          </cell>
          <cell r="C315" t="str">
            <v>Mackay - Asphalt</v>
          </cell>
          <cell r="D315" t="str">
            <v>Mount Bassett Drive</v>
          </cell>
          <cell r="E315" t="str">
            <v>Mackay</v>
          </cell>
          <cell r="F315" t="str">
            <v>4740</v>
          </cell>
          <cell r="G315" t="str">
            <v>Queensland</v>
          </cell>
          <cell r="H315" t="str">
            <v>Australia</v>
          </cell>
          <cell r="I315" t="str">
            <v>Not Applicable</v>
          </cell>
          <cell r="J315">
            <v>70000</v>
          </cell>
          <cell r="K315">
            <v>200000</v>
          </cell>
          <cell r="L315">
            <v>500000</v>
          </cell>
          <cell r="M315">
            <v>300000</v>
          </cell>
          <cell r="N315">
            <v>800000</v>
          </cell>
          <cell r="O315">
            <v>1870000</v>
          </cell>
        </row>
        <row r="316">
          <cell r="A316" t="str">
            <v>260</v>
          </cell>
          <cell r="B316" t="str">
            <v>ASPHALT QLD</v>
          </cell>
          <cell r="C316" t="str">
            <v>Mobile 1473 - Asphalt Qld</v>
          </cell>
          <cell r="D316" t="str">
            <v>Cullen Ave</v>
          </cell>
          <cell r="E316" t="str">
            <v>Whinstanes</v>
          </cell>
          <cell r="F316" t="str">
            <v>4007</v>
          </cell>
          <cell r="G316" t="str">
            <v>Queensland</v>
          </cell>
          <cell r="H316" t="str">
            <v>Australia</v>
          </cell>
          <cell r="I316" t="str">
            <v>Not Applicable</v>
          </cell>
          <cell r="J316">
            <v>30000</v>
          </cell>
          <cell r="K316">
            <v>10000</v>
          </cell>
          <cell r="L316">
            <v>2500000</v>
          </cell>
          <cell r="M316">
            <v>200000</v>
          </cell>
          <cell r="N316">
            <v>300000</v>
          </cell>
          <cell r="O316">
            <v>3040000</v>
          </cell>
        </row>
        <row r="317">
          <cell r="A317" t="str">
            <v>260</v>
          </cell>
          <cell r="B317" t="str">
            <v>ASPHALT QLD</v>
          </cell>
          <cell r="C317" t="str">
            <v>Rockhampton - Apshalt</v>
          </cell>
          <cell r="D317" t="str">
            <v>Lakes Creek Road</v>
          </cell>
          <cell r="E317" t="str">
            <v>Rockhampton</v>
          </cell>
          <cell r="F317" t="str">
            <v>4700</v>
          </cell>
          <cell r="G317" t="str">
            <v>Queensland</v>
          </cell>
          <cell r="H317" t="str">
            <v>Australia</v>
          </cell>
          <cell r="I317" t="str">
            <v>Not Applicable</v>
          </cell>
          <cell r="J317">
            <v>170000</v>
          </cell>
          <cell r="K317">
            <v>300000</v>
          </cell>
          <cell r="L317">
            <v>2100000</v>
          </cell>
          <cell r="M317">
            <v>1400000</v>
          </cell>
          <cell r="N317">
            <v>1500000</v>
          </cell>
          <cell r="O317">
            <v>5470000</v>
          </cell>
        </row>
        <row r="318">
          <cell r="A318" t="str">
            <v>260</v>
          </cell>
          <cell r="B318" t="str">
            <v>ASPHALT QLD</v>
          </cell>
          <cell r="C318" t="str">
            <v>Stapylton - Apshalt Qld</v>
          </cell>
          <cell r="D318" t="str">
            <v>Home Base</v>
          </cell>
          <cell r="E318" t="str">
            <v>Stapylton</v>
          </cell>
          <cell r="F318" t="str">
            <v>4207</v>
          </cell>
          <cell r="G318" t="str">
            <v>Queensland</v>
          </cell>
          <cell r="H318" t="str">
            <v>Australia</v>
          </cell>
          <cell r="I318" t="str">
            <v>Not Applicable</v>
          </cell>
          <cell r="J318">
            <v>100000</v>
          </cell>
          <cell r="K318">
            <v>10000</v>
          </cell>
          <cell r="L318">
            <v>3100000</v>
          </cell>
          <cell r="M318">
            <v>200000</v>
          </cell>
          <cell r="N318">
            <v>500000</v>
          </cell>
          <cell r="O318">
            <v>3910000</v>
          </cell>
        </row>
        <row r="319">
          <cell r="A319" t="str">
            <v>260</v>
          </cell>
          <cell r="B319" t="str">
            <v>ASPHALT QLD</v>
          </cell>
          <cell r="C319" t="str">
            <v>Toowoomba - Apshalt</v>
          </cell>
          <cell r="D319" t="str">
            <v>Industrial Ave</v>
          </cell>
          <cell r="E319" t="str">
            <v>Toowoomba</v>
          </cell>
          <cell r="F319" t="str">
            <v>4350</v>
          </cell>
          <cell r="G319" t="str">
            <v>Queensland</v>
          </cell>
          <cell r="H319" t="str">
            <v>Australia</v>
          </cell>
          <cell r="I319" t="str">
            <v>Not Applicable</v>
          </cell>
          <cell r="J319">
            <v>70000</v>
          </cell>
          <cell r="K319">
            <v>150000</v>
          </cell>
          <cell r="L319">
            <v>2200000</v>
          </cell>
          <cell r="M319">
            <v>200000</v>
          </cell>
          <cell r="N319">
            <v>400000</v>
          </cell>
          <cell r="O319">
            <v>3020000</v>
          </cell>
        </row>
        <row r="320">
          <cell r="A320" t="str">
            <v>260</v>
          </cell>
          <cell r="B320" t="str">
            <v>ASPHALT QLD</v>
          </cell>
          <cell r="C320" t="str">
            <v>Townsville - Asphalt</v>
          </cell>
          <cell r="D320" t="str">
            <v>Ingham Road</v>
          </cell>
          <cell r="E320" t="str">
            <v>Townsville</v>
          </cell>
          <cell r="F320" t="str">
            <v>4810</v>
          </cell>
          <cell r="G320" t="str">
            <v>Queensland</v>
          </cell>
          <cell r="H320" t="str">
            <v>Australia</v>
          </cell>
          <cell r="I320" t="str">
            <v>Not Applicable</v>
          </cell>
          <cell r="J320">
            <v>80000</v>
          </cell>
          <cell r="K320">
            <v>375000</v>
          </cell>
          <cell r="L320">
            <v>2100000</v>
          </cell>
          <cell r="M320">
            <v>2200000</v>
          </cell>
          <cell r="N320">
            <v>1100000</v>
          </cell>
          <cell r="O320">
            <v>5855000</v>
          </cell>
        </row>
        <row r="321">
          <cell r="A321" t="str">
            <v>260</v>
          </cell>
          <cell r="B321" t="str">
            <v>ASPHALT QLD</v>
          </cell>
          <cell r="C321" t="str">
            <v>West Burleigh - Apshalt</v>
          </cell>
          <cell r="D321" t="str">
            <v>Rudman Parade</v>
          </cell>
          <cell r="E321" t="str">
            <v>West Burleigh</v>
          </cell>
          <cell r="F321" t="str">
            <v>4219</v>
          </cell>
          <cell r="G321" t="str">
            <v>Queensland</v>
          </cell>
          <cell r="H321" t="str">
            <v>Australia</v>
          </cell>
          <cell r="I321" t="str">
            <v>Not Applicable</v>
          </cell>
          <cell r="J321">
            <v>75000</v>
          </cell>
          <cell r="K321">
            <v>230000</v>
          </cell>
          <cell r="L321">
            <v>2100000</v>
          </cell>
          <cell r="M321">
            <v>800000</v>
          </cell>
          <cell r="N321">
            <v>700000</v>
          </cell>
          <cell r="O321">
            <v>3905000</v>
          </cell>
        </row>
        <row r="322">
          <cell r="A322" t="str">
            <v>260</v>
          </cell>
          <cell r="B322" t="str">
            <v>ASPHALT QLD</v>
          </cell>
          <cell r="C322" t="str">
            <v>Whinstanes - Asphalt</v>
          </cell>
          <cell r="D322" t="str">
            <v>104 Cullen Ave</v>
          </cell>
          <cell r="E322" t="str">
            <v>Brisbane</v>
          </cell>
          <cell r="F322" t="str">
            <v>4007</v>
          </cell>
          <cell r="G322" t="str">
            <v>Queensland</v>
          </cell>
          <cell r="H322" t="str">
            <v>Australia</v>
          </cell>
          <cell r="I322" t="str">
            <v>Not Applicable</v>
          </cell>
          <cell r="J322">
            <v>190000</v>
          </cell>
          <cell r="K322">
            <v>1800000</v>
          </cell>
          <cell r="L322">
            <v>5200000</v>
          </cell>
          <cell r="M322">
            <v>7900000</v>
          </cell>
          <cell r="N322">
            <v>4000000</v>
          </cell>
          <cell r="O322">
            <v>19090000</v>
          </cell>
        </row>
        <row r="323">
          <cell r="A323" t="str">
            <v>261</v>
          </cell>
          <cell r="B323" t="str">
            <v>CONCRETE QLD</v>
          </cell>
          <cell r="C323" t="str">
            <v>17 Mile Rocks Concrete - SE Metro Qld</v>
          </cell>
          <cell r="D323" t="str">
            <v>Sinnamon Road</v>
          </cell>
          <cell r="E323" t="str">
            <v>17 Mile Rocks</v>
          </cell>
          <cell r="F323" t="str">
            <v>4073</v>
          </cell>
          <cell r="G323" t="str">
            <v>Queensland</v>
          </cell>
          <cell r="H323" t="str">
            <v>Australia</v>
          </cell>
          <cell r="I323" t="str">
            <v>Not Applicable</v>
          </cell>
          <cell r="J323">
            <v>42400</v>
          </cell>
          <cell r="K323">
            <v>45000</v>
          </cell>
          <cell r="L323">
            <v>637000</v>
          </cell>
          <cell r="M323">
            <v>450000</v>
          </cell>
          <cell r="N323">
            <v>-10100</v>
          </cell>
          <cell r="O323">
            <v>1164300</v>
          </cell>
        </row>
        <row r="324">
          <cell r="A324" t="str">
            <v>261</v>
          </cell>
          <cell r="B324" t="str">
            <v>CONCRETE QLD</v>
          </cell>
          <cell r="C324" t="str">
            <v>Beenleigh Concrete - C Concrete Metro Qld</v>
          </cell>
          <cell r="D324" t="str">
            <v>Rossman Road</v>
          </cell>
          <cell r="E324" t="str">
            <v>Stapylton</v>
          </cell>
          <cell r="F324" t="str">
            <v>4207</v>
          </cell>
          <cell r="G324" t="str">
            <v>Queensland</v>
          </cell>
          <cell r="H324" t="str">
            <v>Australia</v>
          </cell>
          <cell r="I324" t="str">
            <v>Not Applicable</v>
          </cell>
          <cell r="J324">
            <v>27000</v>
          </cell>
          <cell r="K324">
            <v>57000</v>
          </cell>
          <cell r="L324">
            <v>660000</v>
          </cell>
          <cell r="M324">
            <v>160000</v>
          </cell>
          <cell r="N324">
            <v>78900</v>
          </cell>
          <cell r="O324">
            <v>982900</v>
          </cell>
        </row>
        <row r="325">
          <cell r="A325" t="str">
            <v>261</v>
          </cell>
          <cell r="B325" t="str">
            <v>CONCRETE QLD</v>
          </cell>
          <cell r="C325" t="str">
            <v>Bowen Bridge Concrete</v>
          </cell>
          <cell r="D325" t="str">
            <v>Horace Street</v>
          </cell>
          <cell r="E325" t="str">
            <v>Windsor</v>
          </cell>
          <cell r="F325" t="str">
            <v>4030</v>
          </cell>
          <cell r="G325" t="str">
            <v>Queensland</v>
          </cell>
          <cell r="H325" t="str">
            <v>Australia</v>
          </cell>
          <cell r="I325" t="str">
            <v>Not Applicable</v>
          </cell>
          <cell r="J325">
            <v>40000</v>
          </cell>
          <cell r="K325">
            <v>135000</v>
          </cell>
          <cell r="L325">
            <v>1495000</v>
          </cell>
          <cell r="M325">
            <v>120000</v>
          </cell>
          <cell r="N325">
            <v>-168700</v>
          </cell>
          <cell r="O325">
            <v>1621300</v>
          </cell>
        </row>
        <row r="326">
          <cell r="A326" t="str">
            <v>261</v>
          </cell>
          <cell r="B326" t="str">
            <v>CONCRETE QLD</v>
          </cell>
          <cell r="C326" t="str">
            <v>Browns Plains Concrete</v>
          </cell>
          <cell r="D326" t="str">
            <v>Elliot Court</v>
          </cell>
          <cell r="E326" t="str">
            <v>Browns Plains</v>
          </cell>
          <cell r="F326" t="str">
            <v>4118</v>
          </cell>
          <cell r="G326" t="str">
            <v>Queensland</v>
          </cell>
          <cell r="H326" t="str">
            <v>Australia</v>
          </cell>
          <cell r="I326" t="str">
            <v>Not Applicable</v>
          </cell>
          <cell r="J326">
            <v>28000</v>
          </cell>
          <cell r="K326">
            <v>63500</v>
          </cell>
          <cell r="L326">
            <v>1088000</v>
          </cell>
          <cell r="M326">
            <v>120000</v>
          </cell>
          <cell r="N326">
            <v>22750</v>
          </cell>
          <cell r="O326">
            <v>1322250</v>
          </cell>
        </row>
        <row r="327">
          <cell r="A327" t="str">
            <v>261</v>
          </cell>
          <cell r="B327" t="str">
            <v>CONCRETE QLD</v>
          </cell>
          <cell r="C327" t="str">
            <v>Capalaba Concrete</v>
          </cell>
          <cell r="D327" t="str">
            <v>Smith Street</v>
          </cell>
          <cell r="E327" t="str">
            <v>Capalaba</v>
          </cell>
          <cell r="F327" t="str">
            <v>4157</v>
          </cell>
          <cell r="G327" t="str">
            <v>Queensland</v>
          </cell>
          <cell r="H327" t="str">
            <v>Australia</v>
          </cell>
          <cell r="I327" t="str">
            <v>Not Applicable</v>
          </cell>
          <cell r="J327">
            <v>31000</v>
          </cell>
          <cell r="K327">
            <v>40000</v>
          </cell>
          <cell r="L327">
            <v>802000</v>
          </cell>
          <cell r="M327">
            <v>120000</v>
          </cell>
          <cell r="N327">
            <v>109100</v>
          </cell>
          <cell r="O327">
            <v>1102100</v>
          </cell>
        </row>
        <row r="328">
          <cell r="A328" t="str">
            <v>261</v>
          </cell>
          <cell r="B328" t="str">
            <v>CONCRETE QLD</v>
          </cell>
          <cell r="C328" t="str">
            <v>Cleveland Concrete</v>
          </cell>
          <cell r="D328" t="str">
            <v>Enterprise Street</v>
          </cell>
          <cell r="E328" t="str">
            <v>Cleveland</v>
          </cell>
          <cell r="F328" t="str">
            <v>4163</v>
          </cell>
          <cell r="G328" t="str">
            <v>Queensland</v>
          </cell>
          <cell r="H328" t="str">
            <v>Australia</v>
          </cell>
          <cell r="I328" t="str">
            <v>Not Applicable</v>
          </cell>
          <cell r="J328">
            <v>22000</v>
          </cell>
          <cell r="K328">
            <v>60000</v>
          </cell>
          <cell r="L328">
            <v>1025000</v>
          </cell>
          <cell r="M328">
            <v>120000</v>
          </cell>
          <cell r="N328">
            <v>139700</v>
          </cell>
          <cell r="O328">
            <v>1366700</v>
          </cell>
        </row>
        <row r="329">
          <cell r="A329" t="str">
            <v>261</v>
          </cell>
          <cell r="B329" t="str">
            <v>CONCRETE QLD</v>
          </cell>
          <cell r="C329" t="str">
            <v>Coopers Plains Concrete</v>
          </cell>
          <cell r="D329" t="str">
            <v>156 Musgrave Road</v>
          </cell>
          <cell r="E329" t="str">
            <v>Coopers Plains</v>
          </cell>
          <cell r="F329" t="str">
            <v>4108</v>
          </cell>
          <cell r="G329" t="str">
            <v>Queensland</v>
          </cell>
          <cell r="H329" t="str">
            <v>Australia</v>
          </cell>
          <cell r="I329" t="str">
            <v>Not Applicable</v>
          </cell>
          <cell r="J329">
            <v>43000</v>
          </cell>
          <cell r="K329">
            <v>50000</v>
          </cell>
          <cell r="L329">
            <v>1350000</v>
          </cell>
          <cell r="M329">
            <v>100000</v>
          </cell>
          <cell r="N329">
            <v>56400</v>
          </cell>
          <cell r="O329">
            <v>1599400</v>
          </cell>
        </row>
        <row r="330">
          <cell r="A330" t="str">
            <v>261</v>
          </cell>
          <cell r="B330" t="str">
            <v>CONCRETE QLD</v>
          </cell>
          <cell r="C330" t="str">
            <v>Coorparoo Concrete</v>
          </cell>
          <cell r="D330" t="str">
            <v>Morely Street</v>
          </cell>
          <cell r="E330" t="str">
            <v>Coorparoo</v>
          </cell>
          <cell r="F330" t="str">
            <v>4151</v>
          </cell>
          <cell r="G330" t="str">
            <v>Queensland</v>
          </cell>
          <cell r="H330" t="str">
            <v>Australia</v>
          </cell>
          <cell r="I330" t="str">
            <v>Not Applicable</v>
          </cell>
          <cell r="J330">
            <v>26000</v>
          </cell>
          <cell r="K330">
            <v>60000</v>
          </cell>
          <cell r="L330">
            <v>1440000</v>
          </cell>
          <cell r="M330">
            <v>100000</v>
          </cell>
          <cell r="N330">
            <v>-76000</v>
          </cell>
          <cell r="O330">
            <v>1550000</v>
          </cell>
        </row>
        <row r="331">
          <cell r="A331" t="str">
            <v>261</v>
          </cell>
          <cell r="B331" t="str">
            <v>CONCRETE QLD</v>
          </cell>
          <cell r="C331" t="str">
            <v>Everton Park Concrete</v>
          </cell>
          <cell r="D331" t="str">
            <v>Old Northern Road</v>
          </cell>
          <cell r="E331" t="str">
            <v>Everton Park</v>
          </cell>
          <cell r="F331" t="str">
            <v>4506</v>
          </cell>
          <cell r="G331" t="str">
            <v>Queensland</v>
          </cell>
          <cell r="H331" t="str">
            <v>Australia</v>
          </cell>
          <cell r="I331" t="str">
            <v>Not Applicable</v>
          </cell>
          <cell r="J331">
            <v>35500</v>
          </cell>
          <cell r="K331">
            <v>40000</v>
          </cell>
          <cell r="L331">
            <v>416000</v>
          </cell>
          <cell r="M331">
            <v>120000</v>
          </cell>
          <cell r="N331">
            <v>118729</v>
          </cell>
          <cell r="O331">
            <v>730229</v>
          </cell>
        </row>
        <row r="332">
          <cell r="A332" t="str">
            <v>261</v>
          </cell>
          <cell r="B332" t="str">
            <v>CONCRETE QLD</v>
          </cell>
          <cell r="C332" t="str">
            <v>Geebung Concrete</v>
          </cell>
          <cell r="D332" t="str">
            <v>Robinson Road</v>
          </cell>
          <cell r="E332" t="str">
            <v>Geebung</v>
          </cell>
          <cell r="F332" t="str">
            <v>4034</v>
          </cell>
          <cell r="G332" t="str">
            <v>Queensland</v>
          </cell>
          <cell r="H332" t="str">
            <v>Australia</v>
          </cell>
          <cell r="I332" t="str">
            <v>Not Applicable</v>
          </cell>
          <cell r="J332">
            <v>38000</v>
          </cell>
          <cell r="K332">
            <v>130000</v>
          </cell>
          <cell r="L332">
            <v>1500000</v>
          </cell>
          <cell r="M332">
            <v>160000</v>
          </cell>
          <cell r="N332">
            <v>52300</v>
          </cell>
          <cell r="O332">
            <v>1880300</v>
          </cell>
        </row>
        <row r="333">
          <cell r="A333" t="str">
            <v>261</v>
          </cell>
          <cell r="B333" t="str">
            <v>CONCRETE QLD</v>
          </cell>
          <cell r="C333" t="str">
            <v>Geebung Workshop - CMG Concrete Metro Qld</v>
          </cell>
          <cell r="D333" t="str">
            <v>Robinson Road</v>
          </cell>
          <cell r="E333" t="str">
            <v>Geebung</v>
          </cell>
          <cell r="F333" t="str">
            <v>4034</v>
          </cell>
          <cell r="G333" t="str">
            <v>Queensland</v>
          </cell>
          <cell r="H333" t="str">
            <v>Australia</v>
          </cell>
          <cell r="I333" t="str">
            <v>Not Applicable</v>
          </cell>
          <cell r="J333">
            <v>0</v>
          </cell>
          <cell r="K333">
            <v>200000</v>
          </cell>
          <cell r="L333">
            <v>35000</v>
          </cell>
          <cell r="M333">
            <v>125000</v>
          </cell>
          <cell r="N333">
            <v>0</v>
          </cell>
          <cell r="O333">
            <v>360000</v>
          </cell>
        </row>
        <row r="334">
          <cell r="A334" t="str">
            <v>261</v>
          </cell>
          <cell r="B334" t="str">
            <v>CONCRETE QLD</v>
          </cell>
          <cell r="C334" t="str">
            <v>Head Office Milton - CMG Concrete Metro Qld</v>
          </cell>
          <cell r="D334" t="str">
            <v>147 Coronation Drive</v>
          </cell>
          <cell r="E334" t="str">
            <v>Milton</v>
          </cell>
          <cell r="F334" t="str">
            <v>4064</v>
          </cell>
          <cell r="G334" t="str">
            <v>Queensland</v>
          </cell>
          <cell r="H334" t="str">
            <v>Australia</v>
          </cell>
          <cell r="I334" t="str">
            <v>Not Applicable</v>
          </cell>
          <cell r="J334">
            <v>0</v>
          </cell>
          <cell r="K334">
            <v>906150</v>
          </cell>
          <cell r="L334">
            <v>1500000</v>
          </cell>
          <cell r="M334">
            <v>0</v>
          </cell>
          <cell r="N334">
            <v>0</v>
          </cell>
          <cell r="O334">
            <v>2406150</v>
          </cell>
        </row>
        <row r="335">
          <cell r="A335" t="str">
            <v>261</v>
          </cell>
          <cell r="B335" t="str">
            <v>CONCRETE QLD</v>
          </cell>
          <cell r="C335" t="str">
            <v>Hendra Concrete</v>
          </cell>
          <cell r="D335" t="str">
            <v>East West Arterial</v>
          </cell>
          <cell r="E335" t="str">
            <v>Hendra</v>
          </cell>
          <cell r="F335" t="str">
            <v>4011</v>
          </cell>
          <cell r="G335" t="str">
            <v>Queensland</v>
          </cell>
          <cell r="H335" t="str">
            <v>Australia</v>
          </cell>
          <cell r="I335" t="str">
            <v>Not Applicable</v>
          </cell>
          <cell r="J335">
            <v>86000</v>
          </cell>
          <cell r="K335">
            <v>60000</v>
          </cell>
          <cell r="L335">
            <v>1315000</v>
          </cell>
          <cell r="M335">
            <v>120000</v>
          </cell>
          <cell r="N335">
            <v>23290</v>
          </cell>
          <cell r="O335">
            <v>1604290</v>
          </cell>
        </row>
        <row r="336">
          <cell r="A336" t="str">
            <v>261</v>
          </cell>
          <cell r="B336" t="str">
            <v>CONCRETE QLD</v>
          </cell>
          <cell r="C336" t="str">
            <v>Kingston Concrete</v>
          </cell>
          <cell r="D336" t="str">
            <v>Queens Road</v>
          </cell>
          <cell r="E336" t="str">
            <v>Kingston</v>
          </cell>
          <cell r="F336" t="str">
            <v>4114</v>
          </cell>
          <cell r="G336" t="str">
            <v>Queensland</v>
          </cell>
          <cell r="H336" t="str">
            <v>Australia</v>
          </cell>
          <cell r="I336" t="str">
            <v>Not Applicable</v>
          </cell>
          <cell r="J336">
            <v>34000</v>
          </cell>
          <cell r="K336">
            <v>62000</v>
          </cell>
          <cell r="L336">
            <v>848000</v>
          </cell>
          <cell r="M336">
            <v>130000</v>
          </cell>
          <cell r="N336">
            <v>118000</v>
          </cell>
          <cell r="O336">
            <v>1192000</v>
          </cell>
        </row>
        <row r="337">
          <cell r="A337" t="str">
            <v>261</v>
          </cell>
          <cell r="B337" t="str">
            <v>CONCRETE QLD</v>
          </cell>
          <cell r="C337" t="str">
            <v>Lawnton Concrete</v>
          </cell>
          <cell r="D337" t="str">
            <v>Lawnton Pocket Road</v>
          </cell>
          <cell r="E337" t="str">
            <v>Lawnton</v>
          </cell>
          <cell r="F337" t="str">
            <v>4501</v>
          </cell>
          <cell r="G337" t="str">
            <v>Queensland</v>
          </cell>
          <cell r="H337" t="str">
            <v>Australia</v>
          </cell>
          <cell r="I337" t="str">
            <v>Not Applicable</v>
          </cell>
          <cell r="J337">
            <v>24000</v>
          </cell>
          <cell r="K337">
            <v>0</v>
          </cell>
          <cell r="L337">
            <v>60000</v>
          </cell>
          <cell r="M337">
            <v>250000</v>
          </cell>
          <cell r="N337">
            <v>97400</v>
          </cell>
          <cell r="O337">
            <v>431400</v>
          </cell>
        </row>
        <row r="338">
          <cell r="A338" t="str">
            <v>261</v>
          </cell>
          <cell r="B338" t="str">
            <v>CONCRETE QLD</v>
          </cell>
          <cell r="C338" t="str">
            <v>Morayfield Concrete</v>
          </cell>
          <cell r="D338" t="str">
            <v>Morayfield Road</v>
          </cell>
          <cell r="E338" t="str">
            <v>Morayfield</v>
          </cell>
          <cell r="F338" t="str">
            <v>4506</v>
          </cell>
          <cell r="G338" t="str">
            <v>Queensland</v>
          </cell>
          <cell r="H338" t="str">
            <v>Australia</v>
          </cell>
          <cell r="I338" t="str">
            <v>Not Applicable</v>
          </cell>
          <cell r="J338">
            <v>40500</v>
          </cell>
          <cell r="K338">
            <v>49000</v>
          </cell>
          <cell r="L338">
            <v>490000</v>
          </cell>
          <cell r="M338">
            <v>120000</v>
          </cell>
          <cell r="N338">
            <v>8150</v>
          </cell>
          <cell r="O338">
            <v>707650</v>
          </cell>
        </row>
        <row r="339">
          <cell r="A339" t="str">
            <v>261</v>
          </cell>
          <cell r="B339" t="str">
            <v>CONCRETE QLD</v>
          </cell>
          <cell r="C339" t="str">
            <v>Redcliffe Concrete</v>
          </cell>
          <cell r="D339" t="str">
            <v>Anzac Avenue</v>
          </cell>
          <cell r="E339" t="str">
            <v>Redcliffe</v>
          </cell>
          <cell r="F339" t="str">
            <v>4020</v>
          </cell>
          <cell r="G339" t="str">
            <v>Queensland</v>
          </cell>
          <cell r="H339" t="str">
            <v>Australia</v>
          </cell>
          <cell r="I339" t="str">
            <v>Not Applicable</v>
          </cell>
          <cell r="J339">
            <v>19200</v>
          </cell>
          <cell r="K339">
            <v>45000</v>
          </cell>
          <cell r="L339">
            <v>590000</v>
          </cell>
          <cell r="M339">
            <v>120000</v>
          </cell>
          <cell r="N339">
            <v>126000</v>
          </cell>
          <cell r="O339">
            <v>900200</v>
          </cell>
        </row>
        <row r="340">
          <cell r="A340" t="str">
            <v>261</v>
          </cell>
          <cell r="B340" t="str">
            <v>CONCRETE QLD</v>
          </cell>
          <cell r="C340" t="str">
            <v>Wacol - CMG Concrete Metro Qld</v>
          </cell>
          <cell r="D340" t="str">
            <v>Amatek Street</v>
          </cell>
          <cell r="E340" t="str">
            <v>Wacol</v>
          </cell>
          <cell r="F340" t="str">
            <v>4076</v>
          </cell>
          <cell r="G340" t="str">
            <v>Queensland</v>
          </cell>
          <cell r="H340" t="str">
            <v>Australia</v>
          </cell>
          <cell r="I340" t="str">
            <v>Not Applicable</v>
          </cell>
          <cell r="J340">
            <v>38400</v>
          </cell>
          <cell r="K340">
            <v>62000</v>
          </cell>
          <cell r="L340">
            <v>1224000</v>
          </cell>
          <cell r="M340">
            <v>250000</v>
          </cell>
          <cell r="N340">
            <v>3900</v>
          </cell>
          <cell r="O340">
            <v>1578300</v>
          </cell>
        </row>
        <row r="341">
          <cell r="A341" t="str">
            <v>261</v>
          </cell>
          <cell r="B341" t="str">
            <v>CONCRETE QLD</v>
          </cell>
          <cell r="C341" t="str">
            <v>West End Laboratory</v>
          </cell>
          <cell r="D341" t="str">
            <v>Montague Road</v>
          </cell>
          <cell r="E341" t="str">
            <v>West End</v>
          </cell>
          <cell r="F341" t="str">
            <v>4101</v>
          </cell>
          <cell r="G341" t="str">
            <v>Queensland</v>
          </cell>
          <cell r="H341" t="str">
            <v>Australia</v>
          </cell>
          <cell r="I341" t="str">
            <v>Not Applicable</v>
          </cell>
          <cell r="J341">
            <v>0</v>
          </cell>
          <cell r="K341">
            <v>450000</v>
          </cell>
          <cell r="L341">
            <v>450000</v>
          </cell>
          <cell r="M341">
            <v>0</v>
          </cell>
          <cell r="N341">
            <v>425257</v>
          </cell>
          <cell r="O341">
            <v>1325257</v>
          </cell>
        </row>
        <row r="342">
          <cell r="A342" t="str">
            <v>262</v>
          </cell>
          <cell r="B342" t="str">
            <v>QUARRIES QLD</v>
          </cell>
          <cell r="C342" t="str">
            <v>Aratula Quarry - Cmg Quarries Metro Qld</v>
          </cell>
          <cell r="D342" t="str">
            <v>Cunningham Highway</v>
          </cell>
          <cell r="E342" t="str">
            <v>Aratula</v>
          </cell>
          <cell r="F342" t="str">
            <v>4309</v>
          </cell>
          <cell r="G342" t="str">
            <v>Queensland</v>
          </cell>
          <cell r="H342" t="str">
            <v>Australia</v>
          </cell>
          <cell r="I342" t="str">
            <v>Not Applicable</v>
          </cell>
          <cell r="J342">
            <v>0</v>
          </cell>
          <cell r="K342">
            <v>0</v>
          </cell>
          <cell r="L342">
            <v>0</v>
          </cell>
          <cell r="M342">
            <v>0</v>
          </cell>
          <cell r="N342">
            <v>0</v>
          </cell>
          <cell r="O342">
            <v>0</v>
          </cell>
        </row>
        <row r="343">
          <cell r="A343" t="str">
            <v>262</v>
          </cell>
          <cell r="B343" t="str">
            <v>QUARRIES QLD</v>
          </cell>
          <cell r="C343" t="str">
            <v>Lawnton Sand &amp; Gravel</v>
          </cell>
          <cell r="D343" t="str">
            <v>Lawnton Pocket Road</v>
          </cell>
          <cell r="E343" t="str">
            <v>Lawnton</v>
          </cell>
          <cell r="F343" t="str">
            <v>4501</v>
          </cell>
          <cell r="G343" t="str">
            <v>Queensland</v>
          </cell>
          <cell r="H343" t="str">
            <v>Australia</v>
          </cell>
          <cell r="I343" t="str">
            <v>Not Applicable</v>
          </cell>
          <cell r="J343">
            <v>400000</v>
          </cell>
          <cell r="K343">
            <v>360000</v>
          </cell>
          <cell r="L343">
            <v>5000000</v>
          </cell>
          <cell r="M343">
            <v>4500000</v>
          </cell>
          <cell r="N343">
            <v>4372000</v>
          </cell>
          <cell r="O343">
            <v>14632000</v>
          </cell>
        </row>
        <row r="344">
          <cell r="A344" t="str">
            <v>262</v>
          </cell>
          <cell r="B344" t="str">
            <v>QUARRIES QLD</v>
          </cell>
          <cell r="C344" t="str">
            <v>Narangba Quarry</v>
          </cell>
          <cell r="D344" t="str">
            <v>Raynbird Road</v>
          </cell>
          <cell r="E344" t="str">
            <v>Narangba</v>
          </cell>
          <cell r="F344" t="str">
            <v>4504</v>
          </cell>
          <cell r="G344" t="str">
            <v>Queensland</v>
          </cell>
          <cell r="H344" t="str">
            <v>Australia</v>
          </cell>
          <cell r="I344" t="str">
            <v>Not Applicable</v>
          </cell>
          <cell r="J344">
            <v>452000</v>
          </cell>
          <cell r="K344">
            <v>400000</v>
          </cell>
          <cell r="L344">
            <v>5000000</v>
          </cell>
          <cell r="M344">
            <v>2500000</v>
          </cell>
          <cell r="N344">
            <v>1376400</v>
          </cell>
          <cell r="O344">
            <v>9728400</v>
          </cell>
        </row>
        <row r="345">
          <cell r="A345" t="str">
            <v>262</v>
          </cell>
          <cell r="B345" t="str">
            <v>QUARRIES QLD</v>
          </cell>
          <cell r="C345" t="str">
            <v>Ormeau Quarry</v>
          </cell>
          <cell r="D345" t="str">
            <v>Upper Ormeau Road</v>
          </cell>
          <cell r="E345" t="str">
            <v>Ormeau</v>
          </cell>
          <cell r="F345" t="str">
            <v>4208</v>
          </cell>
          <cell r="G345" t="str">
            <v>Queensland</v>
          </cell>
          <cell r="H345" t="str">
            <v>Australia</v>
          </cell>
          <cell r="I345" t="str">
            <v>Not Applicable</v>
          </cell>
          <cell r="J345">
            <v>190000</v>
          </cell>
          <cell r="K345">
            <v>350000</v>
          </cell>
          <cell r="L345">
            <v>5000000</v>
          </cell>
          <cell r="M345">
            <v>3200000</v>
          </cell>
          <cell r="N345">
            <v>670000</v>
          </cell>
          <cell r="O345">
            <v>9410000</v>
          </cell>
        </row>
        <row r="346">
          <cell r="A346" t="str">
            <v>262</v>
          </cell>
          <cell r="B346" t="str">
            <v>QUARRIES QLD</v>
          </cell>
          <cell r="C346" t="str">
            <v>Petrie Quarry</v>
          </cell>
          <cell r="D346" t="str">
            <v>Dayboro Road</v>
          </cell>
          <cell r="E346" t="str">
            <v>Whiteside</v>
          </cell>
          <cell r="F346" t="str">
            <v>4503</v>
          </cell>
          <cell r="G346" t="str">
            <v>Queensland</v>
          </cell>
          <cell r="H346" t="str">
            <v>Australia</v>
          </cell>
          <cell r="I346" t="str">
            <v>Not Applicable</v>
          </cell>
          <cell r="J346">
            <v>306000</v>
          </cell>
          <cell r="K346">
            <v>3000000</v>
          </cell>
          <cell r="L346">
            <v>13500000</v>
          </cell>
          <cell r="M346">
            <v>4000000</v>
          </cell>
          <cell r="N346">
            <v>3347000</v>
          </cell>
          <cell r="O346">
            <v>24153000</v>
          </cell>
        </row>
        <row r="347">
          <cell r="A347" t="str">
            <v>262</v>
          </cell>
          <cell r="B347" t="str">
            <v>QUARRIES QLD</v>
          </cell>
          <cell r="C347" t="str">
            <v>Pine Mountain Quarry</v>
          </cell>
          <cell r="D347" t="str">
            <v>Pine Mountain Road</v>
          </cell>
          <cell r="E347" t="str">
            <v>Holland Park</v>
          </cell>
          <cell r="F347" t="str">
            <v>4121</v>
          </cell>
          <cell r="G347" t="str">
            <v>Queensland</v>
          </cell>
          <cell r="H347" t="str">
            <v>Australia</v>
          </cell>
          <cell r="I347" t="str">
            <v>Not Applicable</v>
          </cell>
          <cell r="J347">
            <v>0</v>
          </cell>
          <cell r="K347">
            <v>120000</v>
          </cell>
          <cell r="L347">
            <v>0</v>
          </cell>
          <cell r="M347">
            <v>0</v>
          </cell>
          <cell r="N347">
            <v>0</v>
          </cell>
          <cell r="O347">
            <v>120000</v>
          </cell>
        </row>
        <row r="348">
          <cell r="A348" t="str">
            <v>262</v>
          </cell>
          <cell r="B348" t="str">
            <v>QUARRIES QLD</v>
          </cell>
          <cell r="C348" t="str">
            <v>Purga Quarry</v>
          </cell>
          <cell r="D348" t="str">
            <v>Morrows Road</v>
          </cell>
          <cell r="E348" t="str">
            <v>Hillside</v>
          </cell>
          <cell r="F348" t="str">
            <v>4305</v>
          </cell>
          <cell r="G348" t="str">
            <v>Queensland</v>
          </cell>
          <cell r="H348" t="str">
            <v>Australia</v>
          </cell>
          <cell r="I348" t="str">
            <v>Not Applicable</v>
          </cell>
          <cell r="J348">
            <v>108000</v>
          </cell>
          <cell r="K348">
            <v>570000</v>
          </cell>
          <cell r="L348">
            <v>3000000</v>
          </cell>
          <cell r="M348">
            <v>3000000</v>
          </cell>
          <cell r="N348">
            <v>1400000</v>
          </cell>
          <cell r="O348">
            <v>8078000</v>
          </cell>
        </row>
        <row r="349">
          <cell r="A349" t="str">
            <v>262</v>
          </cell>
          <cell r="B349" t="str">
            <v>QUARRIES QLD</v>
          </cell>
          <cell r="C349" t="str">
            <v>Stapylton Manufactured Sand</v>
          </cell>
          <cell r="D349" t="str">
            <v>Rossman Road</v>
          </cell>
          <cell r="E349" t="str">
            <v>Stapylton</v>
          </cell>
          <cell r="F349" t="str">
            <v>4207</v>
          </cell>
          <cell r="G349" t="str">
            <v>Queensland</v>
          </cell>
          <cell r="H349" t="str">
            <v>Australia</v>
          </cell>
          <cell r="I349" t="str">
            <v>Not Applicable</v>
          </cell>
          <cell r="J349">
            <v>55000</v>
          </cell>
          <cell r="K349">
            <v>0</v>
          </cell>
          <cell r="L349">
            <v>6000000</v>
          </cell>
          <cell r="M349">
            <v>300000</v>
          </cell>
          <cell r="N349">
            <v>1999000</v>
          </cell>
          <cell r="O349">
            <v>8354000</v>
          </cell>
        </row>
        <row r="350">
          <cell r="A350" t="str">
            <v>262</v>
          </cell>
          <cell r="B350" t="str">
            <v>QUARRIES QLD</v>
          </cell>
          <cell r="C350" t="str">
            <v>Stapylton Quarry</v>
          </cell>
          <cell r="D350" t="str">
            <v>Rossman Road</v>
          </cell>
          <cell r="E350" t="str">
            <v>Stapylton</v>
          </cell>
          <cell r="F350" t="str">
            <v>4207</v>
          </cell>
          <cell r="G350" t="str">
            <v>Queensland</v>
          </cell>
          <cell r="H350" t="str">
            <v>Australia</v>
          </cell>
          <cell r="I350" t="str">
            <v>Not Applicable</v>
          </cell>
          <cell r="J350">
            <v>337000</v>
          </cell>
          <cell r="K350">
            <v>750000</v>
          </cell>
          <cell r="L350">
            <v>11000000</v>
          </cell>
          <cell r="M350">
            <v>5500000</v>
          </cell>
          <cell r="N350">
            <v>2658600</v>
          </cell>
          <cell r="O350">
            <v>20245600</v>
          </cell>
        </row>
        <row r="351">
          <cell r="A351" t="str">
            <v>263</v>
          </cell>
          <cell r="B351" t="str">
            <v>TRANSPORT QLD</v>
          </cell>
          <cell r="C351" t="str">
            <v>Boral Resources (Qld) - Trpt Gold Coast</v>
          </cell>
          <cell r="D351" t="str">
            <v>12 Greg Chappell Drive</v>
          </cell>
          <cell r="E351" t="str">
            <v>Burleigh Gardens</v>
          </cell>
          <cell r="F351" t="str">
            <v>4219</v>
          </cell>
          <cell r="G351" t="str">
            <v>Queensland</v>
          </cell>
          <cell r="H351" t="str">
            <v>Australia</v>
          </cell>
          <cell r="I351" t="str">
            <v>Not Applicable</v>
          </cell>
          <cell r="J351">
            <v>0</v>
          </cell>
          <cell r="K351">
            <v>0</v>
          </cell>
          <cell r="L351">
            <v>0</v>
          </cell>
          <cell r="M351">
            <v>0</v>
          </cell>
          <cell r="N351">
            <v>100000</v>
          </cell>
          <cell r="O351">
            <v>100000</v>
          </cell>
        </row>
        <row r="352">
          <cell r="A352" t="str">
            <v>263</v>
          </cell>
          <cell r="B352" t="str">
            <v>TRANSPORT QLD</v>
          </cell>
          <cell r="C352" t="str">
            <v>Boral Resources (Qld) - Trpt Sun Coast</v>
          </cell>
          <cell r="D352" t="str">
            <v>Lot 15 Bruce Highway</v>
          </cell>
          <cell r="E352" t="str">
            <v>Forest Glen</v>
          </cell>
          <cell r="F352" t="str">
            <v>4556</v>
          </cell>
          <cell r="G352" t="str">
            <v>Queensland</v>
          </cell>
          <cell r="H352" t="str">
            <v>Australia</v>
          </cell>
          <cell r="I352" t="str">
            <v>Not Applicable</v>
          </cell>
          <cell r="J352">
            <v>0</v>
          </cell>
          <cell r="K352">
            <v>0</v>
          </cell>
          <cell r="L352">
            <v>8500</v>
          </cell>
          <cell r="M352">
            <v>0</v>
          </cell>
          <cell r="N352">
            <v>600000</v>
          </cell>
          <cell r="O352">
            <v>608500</v>
          </cell>
        </row>
        <row r="353">
          <cell r="A353" t="str">
            <v>263</v>
          </cell>
          <cell r="B353" t="str">
            <v>TRANSPORT QLD</v>
          </cell>
          <cell r="C353" t="str">
            <v>Boral Resources (Qld) - Trpt Wacol</v>
          </cell>
          <cell r="D353" t="str">
            <v>64 Industrial Avenue</v>
          </cell>
          <cell r="E353" t="str">
            <v>Wacol</v>
          </cell>
          <cell r="F353" t="str">
            <v>4076</v>
          </cell>
          <cell r="G353" t="str">
            <v>Queensland</v>
          </cell>
          <cell r="H353" t="str">
            <v>Australia</v>
          </cell>
          <cell r="I353" t="str">
            <v>Not Applicable</v>
          </cell>
          <cell r="J353">
            <v>120000</v>
          </cell>
          <cell r="K353">
            <v>2700000</v>
          </cell>
          <cell r="L353">
            <v>470000</v>
          </cell>
          <cell r="M353">
            <v>350000</v>
          </cell>
          <cell r="N353">
            <v>3500000</v>
          </cell>
          <cell r="O353">
            <v>7140000</v>
          </cell>
        </row>
        <row r="354">
          <cell r="A354" t="str">
            <v>263</v>
          </cell>
          <cell r="B354" t="str">
            <v>TRANSPORT QLD</v>
          </cell>
          <cell r="C354" t="str">
            <v>Boral Resourses (Qld) - Trpt Toowoomba</v>
          </cell>
          <cell r="D354" t="str">
            <v>497-501 Boundary Road</v>
          </cell>
          <cell r="E354" t="str">
            <v>Toowoomba</v>
          </cell>
          <cell r="F354" t="str">
            <v>4350</v>
          </cell>
          <cell r="G354" t="str">
            <v>Queensland</v>
          </cell>
          <cell r="H354" t="str">
            <v>Australia</v>
          </cell>
          <cell r="I354" t="str">
            <v>Not Applicable</v>
          </cell>
          <cell r="J354">
            <v>0</v>
          </cell>
          <cell r="K354">
            <v>0</v>
          </cell>
          <cell r="L354">
            <v>10000</v>
          </cell>
          <cell r="M354">
            <v>0</v>
          </cell>
          <cell r="N354">
            <v>150000</v>
          </cell>
          <cell r="O354">
            <v>160000</v>
          </cell>
        </row>
        <row r="355">
          <cell r="A355" t="str">
            <v>264</v>
          </cell>
          <cell r="B355" t="str">
            <v>COUNTRY CONCRETE QLD</v>
          </cell>
          <cell r="C355" t="str">
            <v>Agnes Waters - CMG Country Qld</v>
          </cell>
          <cell r="D355" t="str">
            <v>Rocky Crossing Road</v>
          </cell>
          <cell r="E355" t="str">
            <v>Agnes Waters</v>
          </cell>
          <cell r="F355" t="str">
            <v>4677</v>
          </cell>
          <cell r="G355" t="str">
            <v>Queensland</v>
          </cell>
          <cell r="H355" t="str">
            <v>Australia</v>
          </cell>
          <cell r="I355" t="str">
            <v>Not Applicable</v>
          </cell>
          <cell r="J355">
            <v>28000</v>
          </cell>
          <cell r="K355">
            <v>30000</v>
          </cell>
          <cell r="L355">
            <v>350000</v>
          </cell>
          <cell r="M355">
            <v>200000</v>
          </cell>
          <cell r="N355">
            <v>182000</v>
          </cell>
          <cell r="O355">
            <v>790000</v>
          </cell>
        </row>
        <row r="356">
          <cell r="A356" t="str">
            <v>264</v>
          </cell>
          <cell r="B356" t="str">
            <v>COUNTRY CONCRETE QLD</v>
          </cell>
          <cell r="C356" t="str">
            <v>Benowa Concrete</v>
          </cell>
          <cell r="D356" t="str">
            <v>Racecourse Drive</v>
          </cell>
          <cell r="E356" t="str">
            <v>Benowa</v>
          </cell>
          <cell r="F356" t="str">
            <v>4217</v>
          </cell>
          <cell r="G356" t="str">
            <v>Queensland</v>
          </cell>
          <cell r="H356" t="str">
            <v>Australia</v>
          </cell>
          <cell r="I356" t="str">
            <v>Not Applicable</v>
          </cell>
          <cell r="J356">
            <v>30000</v>
          </cell>
          <cell r="K356">
            <v>80000</v>
          </cell>
          <cell r="L356">
            <v>1500000</v>
          </cell>
          <cell r="M356">
            <v>200000</v>
          </cell>
          <cell r="N356">
            <v>302000</v>
          </cell>
          <cell r="O356">
            <v>2112000</v>
          </cell>
        </row>
        <row r="357">
          <cell r="A357" t="str">
            <v>264</v>
          </cell>
          <cell r="B357" t="str">
            <v>COUNTRY CONCRETE QLD</v>
          </cell>
          <cell r="C357" t="str">
            <v>Cairns 3 - CMG Country Concrete Qld</v>
          </cell>
          <cell r="D357" t="str">
            <v>Kenny Street</v>
          </cell>
          <cell r="E357" t="str">
            <v>Cairns</v>
          </cell>
          <cell r="F357" t="str">
            <v>4870</v>
          </cell>
          <cell r="G357" t="str">
            <v>Queensland</v>
          </cell>
          <cell r="H357" t="str">
            <v>Australia</v>
          </cell>
          <cell r="I357" t="str">
            <v>Not Applicable</v>
          </cell>
          <cell r="J357">
            <v>40000</v>
          </cell>
          <cell r="K357">
            <v>105000</v>
          </cell>
          <cell r="L357">
            <v>472000</v>
          </cell>
          <cell r="M357">
            <v>200000</v>
          </cell>
          <cell r="N357">
            <v>554000</v>
          </cell>
          <cell r="O357">
            <v>1371000</v>
          </cell>
        </row>
        <row r="358">
          <cell r="A358" t="str">
            <v>264</v>
          </cell>
          <cell r="B358" t="str">
            <v>COUNTRY CONCRETE QLD</v>
          </cell>
          <cell r="C358" t="str">
            <v>Calliope - CMG Country Concrete Qld</v>
          </cell>
          <cell r="D358" t="str">
            <v>Racecourse Road</v>
          </cell>
          <cell r="E358" t="str">
            <v>Calliope</v>
          </cell>
          <cell r="F358" t="str">
            <v>4680</v>
          </cell>
          <cell r="G358" t="str">
            <v>Queensland</v>
          </cell>
          <cell r="H358" t="str">
            <v>Australia</v>
          </cell>
          <cell r="I358" t="str">
            <v>Not Applicable</v>
          </cell>
          <cell r="J358">
            <v>16000</v>
          </cell>
          <cell r="K358">
            <v>25000</v>
          </cell>
          <cell r="L358">
            <v>400000</v>
          </cell>
          <cell r="M358">
            <v>200000</v>
          </cell>
          <cell r="N358">
            <v>95000</v>
          </cell>
          <cell r="O358">
            <v>736000</v>
          </cell>
        </row>
        <row r="359">
          <cell r="A359" t="str">
            <v>264</v>
          </cell>
          <cell r="B359" t="str">
            <v>COUNTRY CONCRETE QLD</v>
          </cell>
          <cell r="C359" t="str">
            <v>Caloundra Concrete - CMG Concrete Metro Qld</v>
          </cell>
          <cell r="D359" t="str">
            <v>Industrial Avenue</v>
          </cell>
          <cell r="E359" t="str">
            <v>Caloundra</v>
          </cell>
          <cell r="F359" t="str">
            <v>4551</v>
          </cell>
          <cell r="G359" t="str">
            <v>Queensland</v>
          </cell>
          <cell r="H359" t="str">
            <v>Australia</v>
          </cell>
          <cell r="I359" t="str">
            <v>Not Applicable</v>
          </cell>
          <cell r="J359">
            <v>30000</v>
          </cell>
          <cell r="K359">
            <v>50000</v>
          </cell>
          <cell r="L359">
            <v>850000</v>
          </cell>
          <cell r="M359">
            <v>200000</v>
          </cell>
          <cell r="N359">
            <v>45000</v>
          </cell>
          <cell r="O359">
            <v>1175000</v>
          </cell>
        </row>
        <row r="360">
          <cell r="A360" t="str">
            <v>264</v>
          </cell>
          <cell r="B360" t="str">
            <v>COUNTRY CONCRETE QLD</v>
          </cell>
          <cell r="C360" t="str">
            <v>Century Zinc - CMG Country Concrete Qld</v>
          </cell>
          <cell r="D360" t="str">
            <v>C/- Century Zinc Project</v>
          </cell>
          <cell r="G360" t="str">
            <v>Queensland</v>
          </cell>
          <cell r="H360" t="str">
            <v>Australia</v>
          </cell>
          <cell r="I360" t="str">
            <v>Not Applicable</v>
          </cell>
          <cell r="J360">
            <v>0</v>
          </cell>
          <cell r="K360">
            <v>0</v>
          </cell>
          <cell r="L360">
            <v>0</v>
          </cell>
          <cell r="M360">
            <v>0</v>
          </cell>
          <cell r="N360">
            <v>0</v>
          </cell>
          <cell r="O360">
            <v>0</v>
          </cell>
        </row>
        <row r="361">
          <cell r="A361" t="str">
            <v>264</v>
          </cell>
          <cell r="B361" t="str">
            <v>COUNTRY CONCRETE QLD</v>
          </cell>
          <cell r="C361" t="str">
            <v>Gatton - CMG Country Concrete Qld</v>
          </cell>
          <cell r="D361" t="str">
            <v>Saleyards Road</v>
          </cell>
          <cell r="E361" t="str">
            <v>Gatton</v>
          </cell>
          <cell r="F361" t="str">
            <v>4343</v>
          </cell>
          <cell r="G361" t="str">
            <v>Queensland</v>
          </cell>
          <cell r="H361" t="str">
            <v>Australia</v>
          </cell>
          <cell r="I361" t="str">
            <v>Not Applicable</v>
          </cell>
          <cell r="J361">
            <v>17000</v>
          </cell>
          <cell r="K361">
            <v>15000</v>
          </cell>
          <cell r="L361">
            <v>350000</v>
          </cell>
          <cell r="M361">
            <v>200000</v>
          </cell>
          <cell r="N361">
            <v>235000</v>
          </cell>
          <cell r="O361">
            <v>817000</v>
          </cell>
        </row>
        <row r="362">
          <cell r="A362" t="str">
            <v>264</v>
          </cell>
          <cell r="B362" t="str">
            <v>COUNTRY CONCRETE QLD</v>
          </cell>
          <cell r="C362" t="str">
            <v>Gladstone - CMG Country Concrete Qld</v>
          </cell>
          <cell r="D362" t="str">
            <v>31 Morgan Street</v>
          </cell>
          <cell r="E362" t="str">
            <v>Gladstone</v>
          </cell>
          <cell r="F362" t="str">
            <v>4680</v>
          </cell>
          <cell r="G362" t="str">
            <v>Queensland</v>
          </cell>
          <cell r="H362" t="str">
            <v>Australia</v>
          </cell>
          <cell r="I362" t="str">
            <v>Not Applicable</v>
          </cell>
          <cell r="J362">
            <v>33000</v>
          </cell>
          <cell r="K362">
            <v>50000</v>
          </cell>
          <cell r="L362">
            <v>750000</v>
          </cell>
          <cell r="M362">
            <v>200000</v>
          </cell>
          <cell r="N362">
            <v>290000</v>
          </cell>
          <cell r="O362">
            <v>1323000</v>
          </cell>
        </row>
        <row r="363">
          <cell r="A363" t="str">
            <v>264</v>
          </cell>
          <cell r="B363" t="str">
            <v>COUNTRY CONCRETE QLD</v>
          </cell>
          <cell r="C363" t="str">
            <v>Hervey Bay - CMG Country Concrete Qld</v>
          </cell>
          <cell r="D363" t="str">
            <v>Boat Harbour Drive</v>
          </cell>
          <cell r="E363" t="str">
            <v>Hervey Bay</v>
          </cell>
          <cell r="F363" t="str">
            <v>4655</v>
          </cell>
          <cell r="G363" t="str">
            <v>Queensland</v>
          </cell>
          <cell r="H363" t="str">
            <v>Australia</v>
          </cell>
          <cell r="I363" t="str">
            <v>Not Applicable</v>
          </cell>
          <cell r="J363">
            <v>35000</v>
          </cell>
          <cell r="K363">
            <v>80000</v>
          </cell>
          <cell r="L363">
            <v>1300000</v>
          </cell>
          <cell r="M363">
            <v>200000</v>
          </cell>
          <cell r="N363">
            <v>307000</v>
          </cell>
          <cell r="O363">
            <v>1922000</v>
          </cell>
        </row>
        <row r="364">
          <cell r="A364" t="str">
            <v>264</v>
          </cell>
          <cell r="B364" t="str">
            <v>COUNTRY CONCRETE QLD</v>
          </cell>
          <cell r="C364" t="str">
            <v>Labrador Concrete</v>
          </cell>
          <cell r="D364" t="str">
            <v>Brisbane Road</v>
          </cell>
          <cell r="E364" t="str">
            <v>Labrador</v>
          </cell>
          <cell r="F364" t="str">
            <v>4215</v>
          </cell>
          <cell r="G364" t="str">
            <v>Queensland</v>
          </cell>
          <cell r="H364" t="str">
            <v>Australia</v>
          </cell>
          <cell r="I364" t="str">
            <v>Not Applicable</v>
          </cell>
          <cell r="J364">
            <v>32000</v>
          </cell>
          <cell r="K364">
            <v>30000</v>
          </cell>
          <cell r="L364">
            <v>2600000</v>
          </cell>
          <cell r="M364">
            <v>0</v>
          </cell>
          <cell r="N364">
            <v>391000</v>
          </cell>
          <cell r="O364">
            <v>3053000</v>
          </cell>
        </row>
        <row r="365">
          <cell r="A365" t="str">
            <v>264</v>
          </cell>
          <cell r="B365" t="str">
            <v>COUNTRY CONCRETE QLD</v>
          </cell>
          <cell r="C365" t="str">
            <v>Laidley - CMG Country Concrete Qld</v>
          </cell>
          <cell r="D365" t="str">
            <v>Cnr Crown and Rosewood Road</v>
          </cell>
          <cell r="E365" t="str">
            <v>Laidley</v>
          </cell>
          <cell r="F365" t="str">
            <v>4341</v>
          </cell>
          <cell r="G365" t="str">
            <v>Queensland</v>
          </cell>
          <cell r="H365" t="str">
            <v>Australia</v>
          </cell>
          <cell r="I365" t="str">
            <v>Not Applicable</v>
          </cell>
          <cell r="J365">
            <v>17000</v>
          </cell>
          <cell r="K365">
            <v>25000</v>
          </cell>
          <cell r="L365">
            <v>200000</v>
          </cell>
          <cell r="M365">
            <v>200000</v>
          </cell>
          <cell r="N365">
            <v>171000</v>
          </cell>
          <cell r="O365">
            <v>613000</v>
          </cell>
        </row>
        <row r="366">
          <cell r="A366" t="str">
            <v>264</v>
          </cell>
          <cell r="B366" t="str">
            <v>COUNTRY CONCRETE QLD</v>
          </cell>
          <cell r="C366" t="str">
            <v>Mackay - Country Concrete Qld</v>
          </cell>
          <cell r="D366" t="str">
            <v>Sugarshed Road</v>
          </cell>
          <cell r="E366" t="str">
            <v>Mackay</v>
          </cell>
          <cell r="F366" t="str">
            <v>4740</v>
          </cell>
          <cell r="G366" t="str">
            <v>Queensland</v>
          </cell>
          <cell r="H366" t="str">
            <v>Australia</v>
          </cell>
          <cell r="I366" t="str">
            <v>Not Applicable</v>
          </cell>
          <cell r="J366">
            <v>51000</v>
          </cell>
          <cell r="K366">
            <v>30000</v>
          </cell>
          <cell r="L366">
            <v>700000</v>
          </cell>
          <cell r="M366">
            <v>200000</v>
          </cell>
          <cell r="N366">
            <v>364000</v>
          </cell>
          <cell r="O366">
            <v>1345000</v>
          </cell>
        </row>
        <row r="367">
          <cell r="A367" t="str">
            <v>264</v>
          </cell>
          <cell r="B367" t="str">
            <v>COUNTRY CONCRETE QLD</v>
          </cell>
          <cell r="C367" t="str">
            <v>Mareeba - CMG Country Concrete Qld</v>
          </cell>
          <cell r="D367" t="str">
            <v>Reynolds Road</v>
          </cell>
          <cell r="E367" t="str">
            <v>Mareeba</v>
          </cell>
          <cell r="F367" t="str">
            <v>4880</v>
          </cell>
          <cell r="G367" t="str">
            <v>Queensland</v>
          </cell>
          <cell r="H367" t="str">
            <v>Australia</v>
          </cell>
          <cell r="I367" t="str">
            <v>Not Applicable</v>
          </cell>
          <cell r="J367">
            <v>24000</v>
          </cell>
          <cell r="K367">
            <v>30000</v>
          </cell>
          <cell r="L367">
            <v>360000</v>
          </cell>
          <cell r="M367">
            <v>200000</v>
          </cell>
          <cell r="N367">
            <v>182000</v>
          </cell>
          <cell r="O367">
            <v>796000</v>
          </cell>
        </row>
        <row r="368">
          <cell r="A368" t="str">
            <v>264</v>
          </cell>
          <cell r="B368" t="str">
            <v>COUNTRY CONCRETE QLD</v>
          </cell>
          <cell r="C368" t="str">
            <v>Maroochydore Concrete</v>
          </cell>
          <cell r="D368" t="str">
            <v>Maroochydore Road</v>
          </cell>
          <cell r="E368" t="str">
            <v>Buderim</v>
          </cell>
          <cell r="F368" t="str">
            <v>4556</v>
          </cell>
          <cell r="G368" t="str">
            <v>Queensland</v>
          </cell>
          <cell r="H368" t="str">
            <v>Australia</v>
          </cell>
          <cell r="I368" t="str">
            <v>Not Applicable</v>
          </cell>
          <cell r="J368">
            <v>43000</v>
          </cell>
          <cell r="K368">
            <v>40000</v>
          </cell>
          <cell r="L368">
            <v>800000</v>
          </cell>
          <cell r="M368">
            <v>200000</v>
          </cell>
          <cell r="N368">
            <v>0</v>
          </cell>
          <cell r="O368">
            <v>1083000</v>
          </cell>
        </row>
        <row r="369">
          <cell r="A369" t="str">
            <v>264</v>
          </cell>
          <cell r="B369" t="str">
            <v>COUNTRY CONCRETE QLD</v>
          </cell>
          <cell r="C369" t="str">
            <v>Maryborough - CMG Country Concrete Qld</v>
          </cell>
          <cell r="D369" t="str">
            <v>Saltwater Creek Road</v>
          </cell>
          <cell r="E369" t="str">
            <v>Maryborough</v>
          </cell>
          <cell r="F369" t="str">
            <v>4650</v>
          </cell>
          <cell r="G369" t="str">
            <v>Queensland</v>
          </cell>
          <cell r="H369" t="str">
            <v>Australia</v>
          </cell>
          <cell r="I369" t="str">
            <v>Not Applicable</v>
          </cell>
          <cell r="J369">
            <v>17000</v>
          </cell>
          <cell r="K369">
            <v>30000</v>
          </cell>
          <cell r="L369">
            <v>433000</v>
          </cell>
          <cell r="M369">
            <v>200000</v>
          </cell>
          <cell r="N369">
            <v>263000</v>
          </cell>
          <cell r="O369">
            <v>943000</v>
          </cell>
        </row>
        <row r="370">
          <cell r="A370" t="str">
            <v>264</v>
          </cell>
          <cell r="B370" t="str">
            <v>COUNTRY CONCRETE QLD</v>
          </cell>
          <cell r="C370" t="str">
            <v>Mobile Plant 62 - CMG Country Concrete Qld</v>
          </cell>
          <cell r="G370" t="str">
            <v>Queensland</v>
          </cell>
          <cell r="H370" t="str">
            <v>Australia</v>
          </cell>
          <cell r="I370" t="str">
            <v>Not Applicable</v>
          </cell>
          <cell r="J370">
            <v>0</v>
          </cell>
          <cell r="K370">
            <v>0</v>
          </cell>
          <cell r="L370">
            <v>100000</v>
          </cell>
          <cell r="M370">
            <v>0</v>
          </cell>
          <cell r="N370">
            <v>0</v>
          </cell>
          <cell r="O370">
            <v>100000</v>
          </cell>
        </row>
        <row r="371">
          <cell r="A371" t="str">
            <v>264</v>
          </cell>
          <cell r="B371" t="str">
            <v>COUNTRY CONCRETE QLD</v>
          </cell>
          <cell r="C371" t="str">
            <v>Mobile Plant 63 - CMG Country Concrete Qld</v>
          </cell>
          <cell r="G371" t="str">
            <v>Queensland</v>
          </cell>
          <cell r="H371" t="str">
            <v>Australia</v>
          </cell>
          <cell r="I371" t="str">
            <v>Not Applicable</v>
          </cell>
          <cell r="J371">
            <v>0</v>
          </cell>
          <cell r="K371">
            <v>0</v>
          </cell>
          <cell r="L371">
            <v>100000</v>
          </cell>
          <cell r="M371">
            <v>0</v>
          </cell>
          <cell r="N371">
            <v>0</v>
          </cell>
          <cell r="O371">
            <v>100000</v>
          </cell>
        </row>
        <row r="372">
          <cell r="A372" t="str">
            <v>264</v>
          </cell>
          <cell r="B372" t="str">
            <v>COUNTRY CONCRETE QLD</v>
          </cell>
          <cell r="C372" t="str">
            <v>Mobile Plant 67 - CMG Country Concrete Qld</v>
          </cell>
          <cell r="G372" t="str">
            <v>Queensland</v>
          </cell>
          <cell r="H372" t="str">
            <v>Australia</v>
          </cell>
          <cell r="I372" t="str">
            <v>Not Applicable</v>
          </cell>
          <cell r="J372">
            <v>0</v>
          </cell>
          <cell r="K372">
            <v>0</v>
          </cell>
          <cell r="L372">
            <v>350000</v>
          </cell>
          <cell r="M372">
            <v>0</v>
          </cell>
          <cell r="N372">
            <v>0</v>
          </cell>
          <cell r="O372">
            <v>350000</v>
          </cell>
        </row>
        <row r="373">
          <cell r="A373" t="str">
            <v>264</v>
          </cell>
          <cell r="B373" t="str">
            <v>COUNTRY CONCRETE QLD</v>
          </cell>
          <cell r="C373" t="str">
            <v>Mobile Plant 68 - CMG Country Concrete Qld</v>
          </cell>
          <cell r="G373" t="str">
            <v>Queensland</v>
          </cell>
          <cell r="H373" t="str">
            <v>Australia</v>
          </cell>
          <cell r="I373" t="str">
            <v>Not Applicable</v>
          </cell>
          <cell r="J373">
            <v>0</v>
          </cell>
          <cell r="K373">
            <v>0</v>
          </cell>
          <cell r="L373">
            <v>250000</v>
          </cell>
          <cell r="M373">
            <v>0</v>
          </cell>
          <cell r="N373">
            <v>0</v>
          </cell>
          <cell r="O373">
            <v>250000</v>
          </cell>
        </row>
        <row r="374">
          <cell r="A374" t="str">
            <v>264</v>
          </cell>
          <cell r="B374" t="str">
            <v>COUNTRY CONCRETE QLD</v>
          </cell>
          <cell r="C374" t="str">
            <v>Mobile Plant 69 - CMG Country Concrete Qld</v>
          </cell>
          <cell r="G374" t="str">
            <v>Queensland</v>
          </cell>
          <cell r="H374" t="str">
            <v>Australia</v>
          </cell>
          <cell r="I374" t="str">
            <v>Not Applicable</v>
          </cell>
          <cell r="J374">
            <v>0</v>
          </cell>
          <cell r="K374">
            <v>0</v>
          </cell>
          <cell r="L374">
            <v>250000</v>
          </cell>
          <cell r="M374">
            <v>0</v>
          </cell>
          <cell r="N374">
            <v>0</v>
          </cell>
          <cell r="O374">
            <v>250000</v>
          </cell>
        </row>
        <row r="375">
          <cell r="A375" t="str">
            <v>264</v>
          </cell>
          <cell r="B375" t="str">
            <v>COUNTRY CONCRETE QLD</v>
          </cell>
          <cell r="C375" t="str">
            <v>Mossman - CMG Country Concrete Qld</v>
          </cell>
          <cell r="D375" t="str">
            <v>Pringle Street</v>
          </cell>
          <cell r="E375" t="str">
            <v>Mossman</v>
          </cell>
          <cell r="F375" t="str">
            <v>4873</v>
          </cell>
          <cell r="G375" t="str">
            <v>Queensland</v>
          </cell>
          <cell r="H375" t="str">
            <v>Australia</v>
          </cell>
          <cell r="I375" t="str">
            <v>Not Applicable</v>
          </cell>
          <cell r="J375">
            <v>16000</v>
          </cell>
          <cell r="K375">
            <v>120000</v>
          </cell>
          <cell r="L375">
            <v>450000</v>
          </cell>
          <cell r="M375">
            <v>200000</v>
          </cell>
          <cell r="N375">
            <v>190000</v>
          </cell>
          <cell r="O375">
            <v>976000</v>
          </cell>
        </row>
        <row r="376">
          <cell r="A376" t="str">
            <v>264</v>
          </cell>
          <cell r="B376" t="str">
            <v>COUNTRY CONCRETE QLD</v>
          </cell>
          <cell r="C376" t="str">
            <v>Mt Isa - CMG Country Concrete Qld</v>
          </cell>
          <cell r="D376" t="str">
            <v>Old Mica Creek Road</v>
          </cell>
          <cell r="E376" t="str">
            <v>Mt Isa</v>
          </cell>
          <cell r="F376" t="str">
            <v>4825</v>
          </cell>
          <cell r="G376" t="str">
            <v>Queensland</v>
          </cell>
          <cell r="H376" t="str">
            <v>Australia</v>
          </cell>
          <cell r="I376" t="str">
            <v>Not Applicable</v>
          </cell>
          <cell r="J376">
            <v>75000</v>
          </cell>
          <cell r="K376">
            <v>103000</v>
          </cell>
          <cell r="L376">
            <v>550000</v>
          </cell>
          <cell r="M376">
            <v>200000</v>
          </cell>
          <cell r="N376">
            <v>848000</v>
          </cell>
          <cell r="O376">
            <v>1776000</v>
          </cell>
        </row>
        <row r="377">
          <cell r="A377" t="str">
            <v>264</v>
          </cell>
          <cell r="B377" t="str">
            <v>COUNTRY CONCRETE QLD</v>
          </cell>
          <cell r="C377" t="str">
            <v>Noosa Concrete</v>
          </cell>
          <cell r="D377" t="str">
            <v>Production Street</v>
          </cell>
          <cell r="E377" t="str">
            <v>Noosa</v>
          </cell>
          <cell r="F377" t="str">
            <v>4566</v>
          </cell>
          <cell r="G377" t="str">
            <v>Queensland</v>
          </cell>
          <cell r="H377" t="str">
            <v>Australia</v>
          </cell>
          <cell r="I377" t="str">
            <v>Not Applicable</v>
          </cell>
          <cell r="J377">
            <v>53000</v>
          </cell>
          <cell r="K377">
            <v>50000</v>
          </cell>
          <cell r="L377">
            <v>700000</v>
          </cell>
          <cell r="M377">
            <v>200000</v>
          </cell>
          <cell r="N377">
            <v>122000</v>
          </cell>
          <cell r="O377">
            <v>1125000</v>
          </cell>
        </row>
        <row r="378">
          <cell r="A378" t="str">
            <v>264</v>
          </cell>
          <cell r="B378" t="str">
            <v>COUNTRY CONCRETE QLD</v>
          </cell>
          <cell r="C378" t="str">
            <v>Port Douglas - CMG Country Concrete Qld</v>
          </cell>
          <cell r="D378" t="str">
            <v>Captain Cook Highway</v>
          </cell>
          <cell r="E378" t="str">
            <v>Holloways Beach</v>
          </cell>
          <cell r="F378" t="str">
            <v>4878</v>
          </cell>
          <cell r="G378" t="str">
            <v>Queensland</v>
          </cell>
          <cell r="H378" t="str">
            <v>Australia</v>
          </cell>
          <cell r="I378" t="str">
            <v>Not Applicable</v>
          </cell>
          <cell r="J378">
            <v>39000</v>
          </cell>
          <cell r="K378">
            <v>20000</v>
          </cell>
          <cell r="L378">
            <v>250000</v>
          </cell>
          <cell r="M378">
            <v>200000</v>
          </cell>
          <cell r="N378">
            <v>226000</v>
          </cell>
          <cell r="O378">
            <v>735000</v>
          </cell>
        </row>
        <row r="379">
          <cell r="A379" t="str">
            <v>264</v>
          </cell>
          <cell r="B379" t="str">
            <v>COUNTRY CONCRETE QLD</v>
          </cell>
          <cell r="C379" t="str">
            <v>Robina Concrete</v>
          </cell>
          <cell r="D379" t="str">
            <v>Rudman Parade</v>
          </cell>
          <cell r="E379" t="str">
            <v>West Burleigh</v>
          </cell>
          <cell r="F379" t="str">
            <v>4226</v>
          </cell>
          <cell r="G379" t="str">
            <v>Queensland</v>
          </cell>
          <cell r="H379" t="str">
            <v>Australia</v>
          </cell>
          <cell r="I379" t="str">
            <v>Not Applicable</v>
          </cell>
          <cell r="J379">
            <v>20000</v>
          </cell>
          <cell r="K379">
            <v>100000</v>
          </cell>
          <cell r="L379">
            <v>1500000</v>
          </cell>
          <cell r="M379">
            <v>200000</v>
          </cell>
          <cell r="N379">
            <v>553000</v>
          </cell>
          <cell r="O379">
            <v>2373000</v>
          </cell>
        </row>
        <row r="380">
          <cell r="A380" t="str">
            <v>264</v>
          </cell>
          <cell r="B380" t="str">
            <v>COUNTRY CONCRETE QLD</v>
          </cell>
          <cell r="C380" t="str">
            <v>Rockhampton - CMG Country Concrete Qld</v>
          </cell>
          <cell r="D380" t="str">
            <v>Johnson Street</v>
          </cell>
          <cell r="E380" t="str">
            <v>Parkhurst</v>
          </cell>
          <cell r="G380" t="str">
            <v>Queensland</v>
          </cell>
          <cell r="H380" t="str">
            <v>Australia</v>
          </cell>
          <cell r="I380" t="str">
            <v>Not Applicable</v>
          </cell>
          <cell r="J380">
            <v>29000</v>
          </cell>
          <cell r="K380">
            <v>40000</v>
          </cell>
          <cell r="L380">
            <v>550000</v>
          </cell>
          <cell r="M380">
            <v>200000</v>
          </cell>
          <cell r="N380">
            <v>389000</v>
          </cell>
          <cell r="O380">
            <v>1208000</v>
          </cell>
        </row>
        <row r="381">
          <cell r="A381" t="str">
            <v>264</v>
          </cell>
          <cell r="B381" t="str">
            <v>COUNTRY CONCRETE QLD</v>
          </cell>
          <cell r="C381" t="str">
            <v>Tolga</v>
          </cell>
          <cell r="D381" t="str">
            <v>Industrial Estate</v>
          </cell>
          <cell r="E381" t="str">
            <v>Tolga</v>
          </cell>
          <cell r="F381" t="str">
            <v>4882</v>
          </cell>
          <cell r="G381" t="str">
            <v>Queensland</v>
          </cell>
          <cell r="H381" t="str">
            <v>Australia</v>
          </cell>
          <cell r="I381" t="str">
            <v>Not Applicable</v>
          </cell>
          <cell r="J381">
            <v>18000</v>
          </cell>
          <cell r="K381">
            <v>25000</v>
          </cell>
          <cell r="L381">
            <v>275000</v>
          </cell>
          <cell r="M381">
            <v>200000</v>
          </cell>
          <cell r="N381">
            <v>183000</v>
          </cell>
          <cell r="O381">
            <v>701000</v>
          </cell>
        </row>
        <row r="382">
          <cell r="A382" t="str">
            <v>264</v>
          </cell>
          <cell r="B382" t="str">
            <v>COUNTRY CONCRETE QLD</v>
          </cell>
          <cell r="C382" t="str">
            <v>Toowoomba - CMG Country Concrete Qld</v>
          </cell>
          <cell r="D382" t="str">
            <v>North Street</v>
          </cell>
          <cell r="E382" t="str">
            <v>Toowoomba</v>
          </cell>
          <cell r="F382" t="str">
            <v>4350</v>
          </cell>
          <cell r="G382" t="str">
            <v>Queensland</v>
          </cell>
          <cell r="H382" t="str">
            <v>Australia</v>
          </cell>
          <cell r="I382" t="str">
            <v>Not Applicable</v>
          </cell>
          <cell r="J382">
            <v>41000</v>
          </cell>
          <cell r="K382">
            <v>45000</v>
          </cell>
          <cell r="L382">
            <v>378000</v>
          </cell>
          <cell r="M382">
            <v>130000</v>
          </cell>
          <cell r="N382">
            <v>346000</v>
          </cell>
          <cell r="O382">
            <v>940000</v>
          </cell>
        </row>
        <row r="383">
          <cell r="A383" t="str">
            <v>264</v>
          </cell>
          <cell r="B383" t="str">
            <v>COUNTRY CONCRETE QLD</v>
          </cell>
          <cell r="C383" t="str">
            <v>Townsville - CMG Country Concrete Qld</v>
          </cell>
          <cell r="D383" t="str">
            <v>12 Pilkington Street</v>
          </cell>
          <cell r="E383" t="str">
            <v>Townsville</v>
          </cell>
          <cell r="F383" t="str">
            <v>4814</v>
          </cell>
          <cell r="G383" t="str">
            <v>Queensland</v>
          </cell>
          <cell r="H383" t="str">
            <v>Australia</v>
          </cell>
          <cell r="I383" t="str">
            <v>Not Applicable</v>
          </cell>
          <cell r="J383">
            <v>54000</v>
          </cell>
          <cell r="K383">
            <v>155000</v>
          </cell>
          <cell r="L383">
            <v>721000</v>
          </cell>
          <cell r="M383">
            <v>260000</v>
          </cell>
          <cell r="N383">
            <v>475000</v>
          </cell>
          <cell r="O383">
            <v>1665000</v>
          </cell>
        </row>
        <row r="384">
          <cell r="A384" t="str">
            <v>264</v>
          </cell>
          <cell r="B384" t="str">
            <v>COUNTRY CONCRETE QLD</v>
          </cell>
          <cell r="C384" t="str">
            <v>Weipa</v>
          </cell>
          <cell r="D384" t="str">
            <v>Florence Hibberd Drive  Evans Landing</v>
          </cell>
          <cell r="E384" t="str">
            <v>Weipa</v>
          </cell>
          <cell r="F384" t="str">
            <v>4874</v>
          </cell>
          <cell r="G384" t="str">
            <v>Queensland</v>
          </cell>
          <cell r="H384" t="str">
            <v>Australia</v>
          </cell>
          <cell r="I384" t="str">
            <v>Not Applicable</v>
          </cell>
          <cell r="J384">
            <v>20000</v>
          </cell>
          <cell r="K384">
            <v>175000</v>
          </cell>
          <cell r="L384">
            <v>412000</v>
          </cell>
          <cell r="M384">
            <v>130000</v>
          </cell>
          <cell r="N384">
            <v>900000</v>
          </cell>
          <cell r="O384">
            <v>1637000</v>
          </cell>
        </row>
        <row r="385">
          <cell r="A385" t="str">
            <v>264</v>
          </cell>
          <cell r="B385" t="str">
            <v>COUNTRY CONCRETE QLD</v>
          </cell>
          <cell r="C385" t="str">
            <v>Willows - CMG Country Concrete Qld</v>
          </cell>
          <cell r="D385" t="str">
            <v>Harveys Range Road</v>
          </cell>
          <cell r="E385" t="str">
            <v>Willows</v>
          </cell>
          <cell r="F385" t="str">
            <v>4814</v>
          </cell>
          <cell r="G385" t="str">
            <v>Queensland</v>
          </cell>
          <cell r="H385" t="str">
            <v>Australia</v>
          </cell>
          <cell r="I385" t="str">
            <v>Not Applicable</v>
          </cell>
          <cell r="J385">
            <v>1000</v>
          </cell>
          <cell r="K385">
            <v>46000</v>
          </cell>
          <cell r="L385">
            <v>463000</v>
          </cell>
          <cell r="M385">
            <v>130000</v>
          </cell>
          <cell r="N385">
            <v>222000</v>
          </cell>
          <cell r="O385">
            <v>862000</v>
          </cell>
        </row>
        <row r="386">
          <cell r="A386" t="str">
            <v>265</v>
          </cell>
          <cell r="B386" t="str">
            <v>COUNTRY QUARRIES QLD</v>
          </cell>
          <cell r="C386" t="str">
            <v>Amby Quarry - CMG Country Quarries Qld</v>
          </cell>
          <cell r="D386" t="str">
            <v>Warrego Highway</v>
          </cell>
          <cell r="E386" t="str">
            <v>Amby</v>
          </cell>
          <cell r="F386" t="str">
            <v>4455</v>
          </cell>
          <cell r="G386" t="str">
            <v>Queensland</v>
          </cell>
          <cell r="H386" t="str">
            <v>Australia</v>
          </cell>
          <cell r="I386" t="str">
            <v>Not Applicable</v>
          </cell>
          <cell r="J386">
            <v>268000</v>
          </cell>
          <cell r="K386">
            <v>100000</v>
          </cell>
          <cell r="L386">
            <v>1500000</v>
          </cell>
          <cell r="M386">
            <v>1370000</v>
          </cell>
          <cell r="N386">
            <v>1215000</v>
          </cell>
          <cell r="O386">
            <v>4453000</v>
          </cell>
        </row>
        <row r="387">
          <cell r="A387" t="str">
            <v>265</v>
          </cell>
          <cell r="B387" t="str">
            <v>COUNTRY QUARRIES QLD</v>
          </cell>
          <cell r="C387" t="str">
            <v>Black River Sand-CMG Country Quarry Qld</v>
          </cell>
          <cell r="D387" t="str">
            <v>Bowdens Road</v>
          </cell>
          <cell r="E387" t="str">
            <v>Black River</v>
          </cell>
          <cell r="F387" t="str">
            <v>4818</v>
          </cell>
          <cell r="G387" t="str">
            <v>Queensland</v>
          </cell>
          <cell r="H387" t="str">
            <v>Australia</v>
          </cell>
          <cell r="I387" t="str">
            <v>Not Applicable</v>
          </cell>
          <cell r="J387">
            <v>5000</v>
          </cell>
          <cell r="K387">
            <v>0</v>
          </cell>
          <cell r="L387">
            <v>250000</v>
          </cell>
          <cell r="M387">
            <v>0</v>
          </cell>
          <cell r="N387">
            <v>0</v>
          </cell>
          <cell r="O387">
            <v>255000</v>
          </cell>
        </row>
        <row r="388">
          <cell r="A388" t="str">
            <v>265</v>
          </cell>
          <cell r="B388" t="str">
            <v>COUNTRY QUARRIES QLD</v>
          </cell>
          <cell r="C388" t="str">
            <v>Cedars Quarry</v>
          </cell>
          <cell r="D388" t="str">
            <v>Holts Road</v>
          </cell>
          <cell r="E388" t="str">
            <v>Mackay</v>
          </cell>
          <cell r="F388" t="str">
            <v>4740</v>
          </cell>
          <cell r="G388" t="str">
            <v>Queensland</v>
          </cell>
          <cell r="H388" t="str">
            <v>Australia</v>
          </cell>
          <cell r="I388" t="str">
            <v>Not Applicable</v>
          </cell>
          <cell r="J388">
            <v>86000</v>
          </cell>
          <cell r="K388">
            <v>250000</v>
          </cell>
          <cell r="L388">
            <v>3000000</v>
          </cell>
          <cell r="M388">
            <v>1570000</v>
          </cell>
          <cell r="N388">
            <v>2160000</v>
          </cell>
          <cell r="O388">
            <v>7066000</v>
          </cell>
        </row>
        <row r="389">
          <cell r="A389" t="str">
            <v>265</v>
          </cell>
          <cell r="B389" t="str">
            <v>COUNTRY QUARRIES QLD</v>
          </cell>
          <cell r="C389" t="str">
            <v>Coolum Quarry</v>
          </cell>
          <cell r="D389" t="str">
            <v>Toolborough Road</v>
          </cell>
          <cell r="E389" t="str">
            <v>Coolum</v>
          </cell>
          <cell r="F389" t="str">
            <v>4573</v>
          </cell>
          <cell r="G389" t="str">
            <v>Queensland</v>
          </cell>
          <cell r="H389" t="str">
            <v>Australia</v>
          </cell>
          <cell r="I389" t="str">
            <v>Not Applicable</v>
          </cell>
          <cell r="J389">
            <v>550000</v>
          </cell>
          <cell r="K389">
            <v>300000</v>
          </cell>
          <cell r="L389">
            <v>6000000</v>
          </cell>
          <cell r="M389">
            <v>3560000</v>
          </cell>
          <cell r="N389">
            <v>2900000</v>
          </cell>
          <cell r="O389">
            <v>13310000</v>
          </cell>
        </row>
        <row r="390">
          <cell r="A390" t="str">
            <v>265</v>
          </cell>
          <cell r="B390" t="str">
            <v>COUNTRY QUARRIES QLD</v>
          </cell>
          <cell r="C390" t="str">
            <v>Dundowran - CMG Country Quarries Qld</v>
          </cell>
          <cell r="D390" t="str">
            <v>Lower Mountain Road</v>
          </cell>
          <cell r="E390" t="str">
            <v>Dundowran</v>
          </cell>
          <cell r="F390" t="str">
            <v>4655</v>
          </cell>
          <cell r="G390" t="str">
            <v>Queensland</v>
          </cell>
          <cell r="H390" t="str">
            <v>Australia</v>
          </cell>
          <cell r="I390" t="str">
            <v>Not Applicable</v>
          </cell>
          <cell r="J390">
            <v>170000</v>
          </cell>
          <cell r="K390">
            <v>163000</v>
          </cell>
          <cell r="L390">
            <v>4000000</v>
          </cell>
          <cell r="M390">
            <v>1180000</v>
          </cell>
          <cell r="N390">
            <v>1650000</v>
          </cell>
          <cell r="O390">
            <v>7163000</v>
          </cell>
        </row>
        <row r="391">
          <cell r="A391" t="str">
            <v>265</v>
          </cell>
          <cell r="B391" t="str">
            <v>COUNTRY QUARRIES QLD</v>
          </cell>
          <cell r="C391" t="str">
            <v>Jabiru Island Sand</v>
          </cell>
          <cell r="D391" t="str">
            <v>Oxley Drive</v>
          </cell>
          <cell r="E391" t="str">
            <v>Paradise Point</v>
          </cell>
          <cell r="F391" t="str">
            <v>4216</v>
          </cell>
          <cell r="G391" t="str">
            <v>Queensland</v>
          </cell>
          <cell r="H391" t="str">
            <v>Australia</v>
          </cell>
          <cell r="I391" t="str">
            <v>Not Applicable</v>
          </cell>
          <cell r="J391">
            <v>58000</v>
          </cell>
          <cell r="K391">
            <v>20000</v>
          </cell>
          <cell r="L391">
            <v>1100000</v>
          </cell>
          <cell r="M391">
            <v>250000</v>
          </cell>
          <cell r="N391">
            <v>360000</v>
          </cell>
          <cell r="O391">
            <v>1788000</v>
          </cell>
        </row>
        <row r="392">
          <cell r="A392" t="str">
            <v>265</v>
          </cell>
          <cell r="B392" t="str">
            <v>COUNTRY QUARRIES QLD</v>
          </cell>
          <cell r="C392" t="str">
            <v>Mooloolah Sand</v>
          </cell>
          <cell r="D392" t="str">
            <v>Connection Road</v>
          </cell>
          <cell r="E392" t="str">
            <v>Mooloolah</v>
          </cell>
          <cell r="F392" t="str">
            <v>4553</v>
          </cell>
          <cell r="G392" t="str">
            <v>Queensland</v>
          </cell>
          <cell r="H392" t="str">
            <v>Australia</v>
          </cell>
          <cell r="I392" t="str">
            <v>Not Applicable</v>
          </cell>
          <cell r="J392">
            <v>52000</v>
          </cell>
          <cell r="K392">
            <v>100000</v>
          </cell>
          <cell r="L392">
            <v>2500000</v>
          </cell>
          <cell r="M392">
            <v>890000</v>
          </cell>
          <cell r="N392">
            <v>1118000</v>
          </cell>
          <cell r="O392">
            <v>4660000</v>
          </cell>
        </row>
        <row r="393">
          <cell r="A393" t="str">
            <v>265</v>
          </cell>
          <cell r="B393" t="str">
            <v>COUNTRY QUARRIES QLD</v>
          </cell>
          <cell r="C393" t="str">
            <v>Redlynch - CMG Country Concrete Qld</v>
          </cell>
          <cell r="D393" t="str">
            <v>Intake Road</v>
          </cell>
          <cell r="E393" t="str">
            <v>Redlynch</v>
          </cell>
          <cell r="F393" t="str">
            <v>4870</v>
          </cell>
          <cell r="G393" t="str">
            <v>Queensland</v>
          </cell>
          <cell r="H393" t="str">
            <v>Australia</v>
          </cell>
          <cell r="I393" t="str">
            <v>Not Applicable</v>
          </cell>
          <cell r="J393">
            <v>221000</v>
          </cell>
          <cell r="K393">
            <v>185000</v>
          </cell>
          <cell r="L393">
            <v>4228000</v>
          </cell>
          <cell r="M393">
            <v>1740000</v>
          </cell>
          <cell r="N393">
            <v>2795000</v>
          </cell>
          <cell r="O393">
            <v>9169000</v>
          </cell>
        </row>
        <row r="394">
          <cell r="A394" t="str">
            <v>265</v>
          </cell>
          <cell r="B394" t="str">
            <v>COUNTRY QUARRIES QLD</v>
          </cell>
          <cell r="C394" t="str">
            <v>Roma</v>
          </cell>
          <cell r="D394" t="str">
            <v>19 Currey St</v>
          </cell>
          <cell r="E394" t="str">
            <v>Roma</v>
          </cell>
          <cell r="F394" t="str">
            <v>4455</v>
          </cell>
          <cell r="G394" t="str">
            <v>Queensland</v>
          </cell>
          <cell r="H394" t="str">
            <v>Australia</v>
          </cell>
          <cell r="I394" t="str">
            <v>Not Applicable</v>
          </cell>
          <cell r="J394">
            <v>19000</v>
          </cell>
          <cell r="K394">
            <v>10000</v>
          </cell>
          <cell r="L394">
            <v>350000</v>
          </cell>
          <cell r="M394">
            <v>680000</v>
          </cell>
          <cell r="N394">
            <v>205000</v>
          </cell>
          <cell r="O394">
            <v>1264000</v>
          </cell>
        </row>
        <row r="395">
          <cell r="A395" t="str">
            <v>265</v>
          </cell>
          <cell r="B395" t="str">
            <v>COUNTRY QUARRIES QLD</v>
          </cell>
          <cell r="C395" t="str">
            <v>Roseneath Quarry</v>
          </cell>
          <cell r="D395" t="str">
            <v>Flinders Highway</v>
          </cell>
          <cell r="E395" t="str">
            <v>Roseneath</v>
          </cell>
          <cell r="F395" t="str">
            <v>4811</v>
          </cell>
          <cell r="G395" t="str">
            <v>Queensland</v>
          </cell>
          <cell r="H395" t="str">
            <v>Australia</v>
          </cell>
          <cell r="I395" t="str">
            <v>Not Applicable</v>
          </cell>
          <cell r="J395">
            <v>61000</v>
          </cell>
          <cell r="K395">
            <v>450000</v>
          </cell>
          <cell r="L395">
            <v>500000</v>
          </cell>
          <cell r="M395">
            <v>0</v>
          </cell>
          <cell r="N395">
            <v>22100</v>
          </cell>
          <cell r="O395">
            <v>1033100</v>
          </cell>
        </row>
        <row r="396">
          <cell r="A396" t="str">
            <v>265</v>
          </cell>
          <cell r="B396" t="str">
            <v>COUNTRY QUARRIES QLD</v>
          </cell>
          <cell r="C396" t="str">
            <v>Roseneath Sand</v>
          </cell>
          <cell r="D396" t="str">
            <v>Flinders Highway</v>
          </cell>
          <cell r="E396" t="str">
            <v>Roseneath</v>
          </cell>
          <cell r="F396" t="str">
            <v>4811</v>
          </cell>
          <cell r="G396" t="str">
            <v>Queensland</v>
          </cell>
          <cell r="H396" t="str">
            <v>Australia</v>
          </cell>
          <cell r="I396" t="str">
            <v>Not Applicable</v>
          </cell>
          <cell r="J396">
            <v>250000</v>
          </cell>
          <cell r="K396">
            <v>0</v>
          </cell>
          <cell r="L396">
            <v>315000</v>
          </cell>
          <cell r="M396">
            <v>340000</v>
          </cell>
          <cell r="N396">
            <v>240000</v>
          </cell>
          <cell r="O396">
            <v>1145000</v>
          </cell>
        </row>
        <row r="397">
          <cell r="A397" t="str">
            <v>265</v>
          </cell>
          <cell r="B397" t="str">
            <v>COUNTRY QUARRIES QLD</v>
          </cell>
          <cell r="C397" t="str">
            <v>Tichum Creek Quarry</v>
          </cell>
          <cell r="D397" t="str">
            <v>Kennedy Highway</v>
          </cell>
          <cell r="E397" t="str">
            <v>Tichum Creek</v>
          </cell>
          <cell r="F397" t="str">
            <v>4880</v>
          </cell>
          <cell r="G397" t="str">
            <v>Queensland</v>
          </cell>
          <cell r="H397" t="str">
            <v>Australia</v>
          </cell>
          <cell r="I397" t="str">
            <v>Not Applicable</v>
          </cell>
          <cell r="J397">
            <v>171000</v>
          </cell>
          <cell r="K397">
            <v>60000</v>
          </cell>
          <cell r="L397">
            <v>3000000</v>
          </cell>
          <cell r="M397">
            <v>1180000</v>
          </cell>
          <cell r="N397">
            <v>1310000</v>
          </cell>
          <cell r="O397">
            <v>5721000</v>
          </cell>
        </row>
        <row r="398">
          <cell r="A398" t="str">
            <v>265</v>
          </cell>
          <cell r="B398" t="str">
            <v>COUNTRY QUARRIES QLD</v>
          </cell>
          <cell r="C398" t="str">
            <v>Warrians</v>
          </cell>
          <cell r="D398" t="str">
            <v>Roma Taroom Rd</v>
          </cell>
          <cell r="E398" t="str">
            <v>Roma</v>
          </cell>
          <cell r="F398" t="str">
            <v>4455</v>
          </cell>
          <cell r="G398" t="str">
            <v>Queensland</v>
          </cell>
          <cell r="H398" t="str">
            <v>Australia</v>
          </cell>
          <cell r="I398" t="str">
            <v>Not Applicable</v>
          </cell>
          <cell r="J398">
            <v>327000</v>
          </cell>
          <cell r="K398">
            <v>20000</v>
          </cell>
          <cell r="L398">
            <v>60000</v>
          </cell>
          <cell r="M398">
            <v>0</v>
          </cell>
          <cell r="N398">
            <v>793000</v>
          </cell>
          <cell r="O398">
            <v>1200000</v>
          </cell>
        </row>
        <row r="399">
          <cell r="A399" t="str">
            <v>265</v>
          </cell>
          <cell r="B399" t="str">
            <v>COUNTRY QUARRIES QLD</v>
          </cell>
          <cell r="C399" t="str">
            <v>West Burleigh Quarry</v>
          </cell>
          <cell r="D399" t="str">
            <v>Bermuda St</v>
          </cell>
          <cell r="E399" t="str">
            <v>Andrews</v>
          </cell>
          <cell r="F399" t="str">
            <v>4219</v>
          </cell>
          <cell r="G399" t="str">
            <v>Queensland</v>
          </cell>
          <cell r="H399" t="str">
            <v>Australia</v>
          </cell>
          <cell r="I399" t="str">
            <v>Not Applicable</v>
          </cell>
          <cell r="J399">
            <v>900000</v>
          </cell>
          <cell r="K399">
            <v>600000</v>
          </cell>
          <cell r="L399">
            <v>10000000</v>
          </cell>
          <cell r="M399">
            <v>5325000</v>
          </cell>
          <cell r="N399">
            <v>6310000</v>
          </cell>
          <cell r="O399">
            <v>23135000</v>
          </cell>
        </row>
        <row r="400">
          <cell r="A400" t="str">
            <v>270</v>
          </cell>
          <cell r="B400" t="str">
            <v>QUARRIES NSW</v>
          </cell>
          <cell r="C400" t="str">
            <v>Dunmore Quarry - CMG Concrete Metro. NSW</v>
          </cell>
          <cell r="D400" t="str">
            <v>Princes Highway</v>
          </cell>
          <cell r="E400" t="str">
            <v>Dunmore</v>
          </cell>
          <cell r="F400" t="str">
            <v>2529</v>
          </cell>
          <cell r="G400" t="str">
            <v>New South Wales</v>
          </cell>
          <cell r="H400" t="str">
            <v>Australia</v>
          </cell>
          <cell r="I400" t="str">
            <v>Not Applicable</v>
          </cell>
          <cell r="J400">
            <v>2500000</v>
          </cell>
          <cell r="K400">
            <v>1000000</v>
          </cell>
          <cell r="L400">
            <v>20000000</v>
          </cell>
          <cell r="M400">
            <v>2000000</v>
          </cell>
          <cell r="N400">
            <v>500000</v>
          </cell>
          <cell r="O400">
            <v>26000000</v>
          </cell>
        </row>
        <row r="401">
          <cell r="A401" t="str">
            <v>270</v>
          </cell>
          <cell r="B401" t="str">
            <v>QUARRIES NSW</v>
          </cell>
          <cell r="C401" t="str">
            <v>Emu Quarry</v>
          </cell>
          <cell r="D401" t="str">
            <v>Railway Street</v>
          </cell>
          <cell r="E401" t="str">
            <v>Emu Plains</v>
          </cell>
          <cell r="F401" t="str">
            <v>2750</v>
          </cell>
          <cell r="G401" t="str">
            <v>New South Wales</v>
          </cell>
          <cell r="H401" t="str">
            <v>Australia</v>
          </cell>
          <cell r="I401" t="str">
            <v>Not Applicable</v>
          </cell>
          <cell r="J401">
            <v>3000000</v>
          </cell>
          <cell r="K401">
            <v>2000000</v>
          </cell>
          <cell r="L401">
            <v>20000000</v>
          </cell>
          <cell r="M401">
            <v>3000000</v>
          </cell>
          <cell r="N401">
            <v>1000000</v>
          </cell>
          <cell r="O401">
            <v>29000000</v>
          </cell>
        </row>
        <row r="402">
          <cell r="A402" t="str">
            <v>270</v>
          </cell>
          <cell r="B402" t="str">
            <v>QUARRIES NSW</v>
          </cell>
          <cell r="C402" t="str">
            <v>Greystanes Estate - Main &amp; Eng - CMG Quarries Metro NSW</v>
          </cell>
          <cell r="D402" t="str">
            <v>Greystanes Road</v>
          </cell>
          <cell r="E402" t="str">
            <v>Greystanes</v>
          </cell>
          <cell r="F402" t="str">
            <v>2145</v>
          </cell>
          <cell r="G402" t="str">
            <v>New South Wales</v>
          </cell>
          <cell r="H402" t="str">
            <v>Australia</v>
          </cell>
          <cell r="I402" t="str">
            <v>Not Applicable</v>
          </cell>
          <cell r="J402">
            <v>0</v>
          </cell>
          <cell r="K402">
            <v>0</v>
          </cell>
          <cell r="L402">
            <v>1000000</v>
          </cell>
          <cell r="M402">
            <v>0</v>
          </cell>
          <cell r="N402">
            <v>500000</v>
          </cell>
          <cell r="O402">
            <v>1500000</v>
          </cell>
        </row>
        <row r="403">
          <cell r="A403" t="str">
            <v>270</v>
          </cell>
          <cell r="B403" t="str">
            <v>QUARRIES NSW</v>
          </cell>
          <cell r="C403" t="str">
            <v>Metro Quarries Lab</v>
          </cell>
          <cell r="D403" t="str">
            <v>Gibbon Rd</v>
          </cell>
          <cell r="E403" t="str">
            <v>Baulkham Hills</v>
          </cell>
          <cell r="F403" t="str">
            <v>2153</v>
          </cell>
          <cell r="G403" t="str">
            <v>New South Wales</v>
          </cell>
          <cell r="H403" t="str">
            <v>Australia</v>
          </cell>
          <cell r="I403" t="str">
            <v>Not Applicable</v>
          </cell>
          <cell r="J403">
            <v>0</v>
          </cell>
          <cell r="K403">
            <v>0</v>
          </cell>
          <cell r="L403">
            <v>1000000</v>
          </cell>
          <cell r="M403">
            <v>0</v>
          </cell>
          <cell r="N403">
            <v>0</v>
          </cell>
          <cell r="O403">
            <v>1000000</v>
          </cell>
        </row>
        <row r="404">
          <cell r="A404" t="str">
            <v>270</v>
          </cell>
          <cell r="B404" t="str">
            <v>QUARRIES NSW</v>
          </cell>
          <cell r="C404" t="str">
            <v>Peats Ridge Quarry</v>
          </cell>
          <cell r="D404" t="str">
            <v>Bushells Road</v>
          </cell>
          <cell r="E404" t="str">
            <v>Peats Ridge</v>
          </cell>
          <cell r="F404" t="str">
            <v>2251</v>
          </cell>
          <cell r="G404" t="str">
            <v>New South Wales</v>
          </cell>
          <cell r="H404" t="str">
            <v>Australia</v>
          </cell>
          <cell r="I404" t="str">
            <v>Not Applicable</v>
          </cell>
          <cell r="J404">
            <v>2500000</v>
          </cell>
          <cell r="K404">
            <v>2000000</v>
          </cell>
          <cell r="L404">
            <v>10000000</v>
          </cell>
          <cell r="M404">
            <v>2000000</v>
          </cell>
          <cell r="N404">
            <v>500000</v>
          </cell>
          <cell r="O404">
            <v>17000000</v>
          </cell>
        </row>
        <row r="405">
          <cell r="A405" t="str">
            <v>270</v>
          </cell>
          <cell r="B405" t="str">
            <v>QUARRIES NSW</v>
          </cell>
          <cell r="C405" t="str">
            <v>Property Rental - Peats Ridge Bushells Rd - Metro Quarries</v>
          </cell>
          <cell r="D405" t="str">
            <v>Bushells Rd</v>
          </cell>
          <cell r="E405" t="str">
            <v>Peats Ridge</v>
          </cell>
          <cell r="F405" t="str">
            <v>2250</v>
          </cell>
          <cell r="G405" t="str">
            <v>New South Wales</v>
          </cell>
          <cell r="H405" t="str">
            <v>Australia</v>
          </cell>
          <cell r="I405" t="str">
            <v>Not Applicable</v>
          </cell>
          <cell r="J405">
            <v>0</v>
          </cell>
          <cell r="K405">
            <v>70000</v>
          </cell>
          <cell r="L405">
            <v>0</v>
          </cell>
          <cell r="M405">
            <v>0</v>
          </cell>
          <cell r="N405">
            <v>0</v>
          </cell>
          <cell r="O405">
            <v>70000</v>
          </cell>
        </row>
        <row r="406">
          <cell r="A406" t="str">
            <v>270</v>
          </cell>
          <cell r="B406" t="str">
            <v>QUARRIES NSW</v>
          </cell>
          <cell r="C406" t="str">
            <v>Property Rentals -  Emu Plains Railway &amp; Mackellar St - Metro Quarries</v>
          </cell>
          <cell r="D406" t="str">
            <v>Railway &amp; Mackellar St</v>
          </cell>
          <cell r="E406" t="str">
            <v>Emu Plains</v>
          </cell>
          <cell r="F406" t="str">
            <v>2750</v>
          </cell>
          <cell r="G406" t="str">
            <v>New South Wales</v>
          </cell>
          <cell r="H406" t="str">
            <v>Australia</v>
          </cell>
          <cell r="I406" t="str">
            <v>Not Applicable</v>
          </cell>
          <cell r="J406">
            <v>0</v>
          </cell>
          <cell r="K406">
            <v>50000</v>
          </cell>
          <cell r="L406">
            <v>0</v>
          </cell>
          <cell r="M406">
            <v>0</v>
          </cell>
          <cell r="N406">
            <v>0</v>
          </cell>
          <cell r="O406">
            <v>50000</v>
          </cell>
        </row>
        <row r="407">
          <cell r="A407" t="str">
            <v>270</v>
          </cell>
          <cell r="B407" t="str">
            <v>QUARRIES NSW</v>
          </cell>
          <cell r="C407" t="str">
            <v>Property Rentals - Carrington 24 Gross St - Metro Quarries</v>
          </cell>
          <cell r="D407" t="str">
            <v>24 Gross Street</v>
          </cell>
          <cell r="E407" t="str">
            <v>Carrington North</v>
          </cell>
          <cell r="F407" t="str">
            <v>2294</v>
          </cell>
          <cell r="G407" t="str">
            <v>New South Wales</v>
          </cell>
          <cell r="H407" t="str">
            <v>Australia</v>
          </cell>
          <cell r="I407" t="str">
            <v>Not Applicable</v>
          </cell>
          <cell r="J407">
            <v>0</v>
          </cell>
          <cell r="K407">
            <v>560000</v>
          </cell>
          <cell r="L407">
            <v>0</v>
          </cell>
          <cell r="M407">
            <v>0</v>
          </cell>
          <cell r="N407">
            <v>0</v>
          </cell>
          <cell r="O407">
            <v>560000</v>
          </cell>
        </row>
        <row r="408">
          <cell r="A408" t="str">
            <v>270</v>
          </cell>
          <cell r="B408" t="str">
            <v>QUARRIES NSW</v>
          </cell>
          <cell r="C408" t="str">
            <v>Property Rentals - Dunmore Croome Vale Rd Jamberoo - Metro Quarries</v>
          </cell>
          <cell r="D408" t="str">
            <v>Jamberoo Road</v>
          </cell>
          <cell r="E408" t="str">
            <v>Jamberoo</v>
          </cell>
          <cell r="F408" t="str">
            <v>2533</v>
          </cell>
          <cell r="G408" t="str">
            <v>New South Wales</v>
          </cell>
          <cell r="H408" t="str">
            <v>Australia</v>
          </cell>
          <cell r="I408" t="str">
            <v>Not Applicable</v>
          </cell>
          <cell r="J408">
            <v>0</v>
          </cell>
          <cell r="K408">
            <v>400000</v>
          </cell>
          <cell r="L408">
            <v>0</v>
          </cell>
          <cell r="M408">
            <v>0</v>
          </cell>
          <cell r="N408">
            <v>0</v>
          </cell>
          <cell r="O408">
            <v>400000</v>
          </cell>
        </row>
        <row r="409">
          <cell r="A409" t="str">
            <v>270</v>
          </cell>
          <cell r="B409" t="str">
            <v>QUARRIES NSW</v>
          </cell>
          <cell r="C409" t="str">
            <v>Property Rentals - Dunmore Minnamurra Lane - Metro Quarries</v>
          </cell>
          <cell r="D409" t="str">
            <v>3 &amp; 10 Trevethan Street</v>
          </cell>
          <cell r="E409" t="str">
            <v>Minnamurra</v>
          </cell>
          <cell r="F409" t="str">
            <v>2532</v>
          </cell>
          <cell r="G409" t="str">
            <v>New South Wales</v>
          </cell>
          <cell r="H409" t="str">
            <v>Australia</v>
          </cell>
          <cell r="I409" t="str">
            <v>Not Applicable</v>
          </cell>
          <cell r="J409">
            <v>0</v>
          </cell>
          <cell r="K409">
            <v>150000</v>
          </cell>
          <cell r="L409">
            <v>0</v>
          </cell>
          <cell r="M409">
            <v>0</v>
          </cell>
          <cell r="N409">
            <v>0</v>
          </cell>
          <cell r="O409">
            <v>150000</v>
          </cell>
        </row>
        <row r="410">
          <cell r="A410" t="str">
            <v>270</v>
          </cell>
          <cell r="B410" t="str">
            <v>QUARRIES NSW</v>
          </cell>
          <cell r="C410" t="str">
            <v>Property Rentals - Dunmore Princess Hwy - Metro Quarries</v>
          </cell>
          <cell r="D410" t="str">
            <v>Rocklow Road</v>
          </cell>
          <cell r="E410" t="str">
            <v>Dunmore</v>
          </cell>
          <cell r="F410" t="str">
            <v>2529</v>
          </cell>
          <cell r="G410" t="str">
            <v>New South Wales</v>
          </cell>
          <cell r="H410" t="str">
            <v>Australia</v>
          </cell>
          <cell r="I410" t="str">
            <v>Not Applicable</v>
          </cell>
          <cell r="J410">
            <v>0</v>
          </cell>
          <cell r="K410">
            <v>0</v>
          </cell>
          <cell r="L410">
            <v>0</v>
          </cell>
          <cell r="M410">
            <v>0</v>
          </cell>
          <cell r="N410">
            <v>0</v>
          </cell>
          <cell r="O410">
            <v>0</v>
          </cell>
        </row>
        <row r="411">
          <cell r="A411" t="str">
            <v>270</v>
          </cell>
          <cell r="B411" t="str">
            <v>QUARRIES NSW</v>
          </cell>
          <cell r="C411" t="str">
            <v>Property Rentals - Dunmore Quarry Priness Hwy - Metro Quarries</v>
          </cell>
          <cell r="D411" t="str">
            <v>Croome Road</v>
          </cell>
          <cell r="E411" t="str">
            <v>Albion Park</v>
          </cell>
          <cell r="F411" t="str">
            <v>2527</v>
          </cell>
          <cell r="G411" t="str">
            <v>New South Wales</v>
          </cell>
          <cell r="H411" t="str">
            <v>Australia</v>
          </cell>
          <cell r="I411" t="str">
            <v>Not Applicable</v>
          </cell>
          <cell r="J411">
            <v>0</v>
          </cell>
          <cell r="K411">
            <v>50000</v>
          </cell>
          <cell r="L411">
            <v>0</v>
          </cell>
          <cell r="M411">
            <v>0</v>
          </cell>
          <cell r="N411">
            <v>0</v>
          </cell>
          <cell r="O411">
            <v>50000</v>
          </cell>
        </row>
        <row r="412">
          <cell r="A412" t="str">
            <v>270</v>
          </cell>
          <cell r="B412" t="str">
            <v>QUARRIES NSW</v>
          </cell>
          <cell r="C412" t="str">
            <v>Property Rentals - Dunmore Rocklow Rd Metro Quarries</v>
          </cell>
          <cell r="D412" t="str">
            <v>Rocklow Road</v>
          </cell>
          <cell r="E412" t="str">
            <v>Dunmore</v>
          </cell>
          <cell r="F412" t="str">
            <v>2529</v>
          </cell>
          <cell r="G412" t="str">
            <v>New South Wales</v>
          </cell>
          <cell r="H412" t="str">
            <v>Australia</v>
          </cell>
          <cell r="I412" t="str">
            <v>Not Applicable</v>
          </cell>
          <cell r="J412">
            <v>0</v>
          </cell>
          <cell r="K412">
            <v>160000</v>
          </cell>
          <cell r="L412">
            <v>0</v>
          </cell>
          <cell r="M412">
            <v>0</v>
          </cell>
          <cell r="N412">
            <v>0</v>
          </cell>
          <cell r="O412">
            <v>160000</v>
          </cell>
        </row>
        <row r="413">
          <cell r="A413" t="str">
            <v>270</v>
          </cell>
          <cell r="B413" t="str">
            <v>QUARRIES NSW</v>
          </cell>
          <cell r="C413" t="str">
            <v>Property Rentals - Dunmore Walton Mntn Minumurra Lane MQ</v>
          </cell>
          <cell r="D413" t="str">
            <v>Minnamurra Road</v>
          </cell>
          <cell r="E413" t="str">
            <v>Jamberoo</v>
          </cell>
          <cell r="F413" t="str">
            <v>2533</v>
          </cell>
          <cell r="G413" t="str">
            <v>New South Wales</v>
          </cell>
          <cell r="H413" t="str">
            <v>Australia</v>
          </cell>
          <cell r="I413" t="str">
            <v>Not Applicable</v>
          </cell>
          <cell r="J413">
            <v>0</v>
          </cell>
          <cell r="K413">
            <v>100000</v>
          </cell>
          <cell r="L413">
            <v>0</v>
          </cell>
          <cell r="M413">
            <v>0</v>
          </cell>
          <cell r="N413">
            <v>0</v>
          </cell>
          <cell r="O413">
            <v>100000</v>
          </cell>
        </row>
        <row r="414">
          <cell r="A414" t="str">
            <v>270</v>
          </cell>
          <cell r="B414" t="str">
            <v>QUARRIES NSW</v>
          </cell>
          <cell r="C414" t="str">
            <v>Property Rentals - Greystanes Prospect Quarry - Metro Quarries</v>
          </cell>
          <cell r="D414" t="str">
            <v>Greystanes Road</v>
          </cell>
          <cell r="E414" t="str">
            <v>South Wentworthville</v>
          </cell>
          <cell r="F414" t="str">
            <v>2145</v>
          </cell>
          <cell r="G414" t="str">
            <v>New South Wales</v>
          </cell>
          <cell r="H414" t="str">
            <v>Australia</v>
          </cell>
          <cell r="I414" t="str">
            <v>Not Applicable</v>
          </cell>
          <cell r="J414">
            <v>0</v>
          </cell>
          <cell r="K414">
            <v>0</v>
          </cell>
          <cell r="L414">
            <v>0</v>
          </cell>
          <cell r="M414">
            <v>0</v>
          </cell>
          <cell r="N414">
            <v>0</v>
          </cell>
          <cell r="O414">
            <v>0</v>
          </cell>
        </row>
        <row r="415">
          <cell r="A415" t="str">
            <v>270</v>
          </cell>
          <cell r="B415" t="str">
            <v>QUARRIES NSW</v>
          </cell>
          <cell r="C415" t="str">
            <v>Property Rentals - Kiama Panama St - Metro Quarries</v>
          </cell>
          <cell r="D415" t="str">
            <v>18  Gwinganna Street</v>
          </cell>
          <cell r="E415" t="str">
            <v>Kiama</v>
          </cell>
          <cell r="F415" t="str">
            <v>2533</v>
          </cell>
          <cell r="G415" t="str">
            <v>New South Wales</v>
          </cell>
          <cell r="H415" t="str">
            <v>Australia</v>
          </cell>
          <cell r="I415" t="str">
            <v>Not Applicable</v>
          </cell>
          <cell r="J415">
            <v>0</v>
          </cell>
          <cell r="K415">
            <v>80000</v>
          </cell>
          <cell r="L415">
            <v>0</v>
          </cell>
          <cell r="M415">
            <v>0</v>
          </cell>
          <cell r="N415">
            <v>0</v>
          </cell>
          <cell r="O415">
            <v>80000</v>
          </cell>
        </row>
        <row r="416">
          <cell r="A416" t="str">
            <v>270</v>
          </cell>
          <cell r="B416" t="str">
            <v>QUARRIES NSW</v>
          </cell>
          <cell r="C416" t="str">
            <v>Property Rentals - Lismore Cnr Crown &amp; Elliot St Metro Quarries</v>
          </cell>
          <cell r="D416" t="str">
            <v>Crown Street</v>
          </cell>
          <cell r="E416" t="str">
            <v>Lismore</v>
          </cell>
          <cell r="F416" t="str">
            <v>2480</v>
          </cell>
          <cell r="G416" t="str">
            <v>New South Wales</v>
          </cell>
          <cell r="H416" t="str">
            <v>Australia</v>
          </cell>
          <cell r="I416" t="str">
            <v>Not Applicable</v>
          </cell>
          <cell r="J416">
            <v>0</v>
          </cell>
          <cell r="K416">
            <v>100000</v>
          </cell>
          <cell r="L416">
            <v>0</v>
          </cell>
          <cell r="M416">
            <v>0</v>
          </cell>
          <cell r="N416">
            <v>0</v>
          </cell>
          <cell r="O416">
            <v>100000</v>
          </cell>
        </row>
        <row r="417">
          <cell r="A417" t="str">
            <v>270</v>
          </cell>
          <cell r="B417" t="str">
            <v>QUARRIES NSW</v>
          </cell>
          <cell r="C417" t="str">
            <v>Property Rentals - Moss Vale Berrima Rd - Metro Quarries</v>
          </cell>
          <cell r="D417" t="str">
            <v>Berrima Road</v>
          </cell>
          <cell r="E417" t="str">
            <v>Moss Vale</v>
          </cell>
          <cell r="F417" t="str">
            <v>2577</v>
          </cell>
          <cell r="G417" t="str">
            <v>New South Wales</v>
          </cell>
          <cell r="H417" t="str">
            <v>Australia</v>
          </cell>
          <cell r="I417" t="str">
            <v>Not Applicable</v>
          </cell>
          <cell r="J417">
            <v>0</v>
          </cell>
          <cell r="K417">
            <v>100000</v>
          </cell>
          <cell r="L417">
            <v>0</v>
          </cell>
          <cell r="M417">
            <v>0</v>
          </cell>
          <cell r="N417">
            <v>0</v>
          </cell>
          <cell r="O417">
            <v>100000</v>
          </cell>
        </row>
        <row r="418">
          <cell r="A418" t="str">
            <v>270</v>
          </cell>
          <cell r="B418" t="str">
            <v>QUARRIES NSW</v>
          </cell>
          <cell r="C418" t="str">
            <v>Property Rentals - Richmond Dight St Metro Quarries</v>
          </cell>
          <cell r="D418" t="str">
            <v>Dight Street</v>
          </cell>
          <cell r="E418" t="str">
            <v>Richmond</v>
          </cell>
          <cell r="F418" t="str">
            <v>2753</v>
          </cell>
          <cell r="G418" t="str">
            <v>New South Wales</v>
          </cell>
          <cell r="H418" t="str">
            <v>Australia</v>
          </cell>
          <cell r="I418" t="str">
            <v>Not Applicable</v>
          </cell>
          <cell r="J418">
            <v>0</v>
          </cell>
          <cell r="K418">
            <v>70000</v>
          </cell>
          <cell r="L418">
            <v>0</v>
          </cell>
          <cell r="M418">
            <v>0</v>
          </cell>
          <cell r="N418">
            <v>0</v>
          </cell>
          <cell r="O418">
            <v>70000</v>
          </cell>
        </row>
        <row r="419">
          <cell r="A419" t="str">
            <v>270</v>
          </cell>
          <cell r="B419" t="str">
            <v>QUARRIES NSW</v>
          </cell>
          <cell r="C419" t="str">
            <v>Property Rentals - Silverwater 29-31 Derby St Metro Quarries</v>
          </cell>
          <cell r="D419" t="str">
            <v>Cnr Derby &amp; Day Street</v>
          </cell>
          <cell r="E419" t="str">
            <v>Silverwater</v>
          </cell>
          <cell r="F419" t="str">
            <v>2264</v>
          </cell>
          <cell r="G419" t="str">
            <v>New South Wales</v>
          </cell>
          <cell r="H419" t="str">
            <v>Australia</v>
          </cell>
          <cell r="I419" t="str">
            <v>Not Applicable</v>
          </cell>
          <cell r="J419">
            <v>0</v>
          </cell>
          <cell r="K419">
            <v>0</v>
          </cell>
          <cell r="L419">
            <v>0</v>
          </cell>
          <cell r="M419">
            <v>0</v>
          </cell>
          <cell r="N419">
            <v>0</v>
          </cell>
          <cell r="O419">
            <v>0</v>
          </cell>
        </row>
        <row r="420">
          <cell r="A420" t="str">
            <v>270</v>
          </cell>
          <cell r="B420" t="str">
            <v>QUARRIES NSW</v>
          </cell>
          <cell r="C420" t="str">
            <v>Property Rentals - St Peters Burrows Rd Sth - Metro Quarries</v>
          </cell>
          <cell r="D420" t="str">
            <v>Burrows Road South</v>
          </cell>
          <cell r="E420" t="str">
            <v>St Peters</v>
          </cell>
          <cell r="F420" t="str">
            <v>2044</v>
          </cell>
          <cell r="G420" t="str">
            <v>New South Wales</v>
          </cell>
          <cell r="H420" t="str">
            <v>Australia</v>
          </cell>
          <cell r="I420" t="str">
            <v>Not Applicable</v>
          </cell>
          <cell r="J420">
            <v>100000</v>
          </cell>
          <cell r="K420">
            <v>50000</v>
          </cell>
          <cell r="L420">
            <v>50000</v>
          </cell>
          <cell r="M420">
            <v>0</v>
          </cell>
          <cell r="N420">
            <v>0</v>
          </cell>
          <cell r="O420">
            <v>200000</v>
          </cell>
        </row>
        <row r="421">
          <cell r="A421" t="str">
            <v>270</v>
          </cell>
          <cell r="B421" t="str">
            <v>QUARRIES NSW</v>
          </cell>
          <cell r="C421" t="str">
            <v>Property Rentals - Wagga 18 Norton St Metro Quarries</v>
          </cell>
          <cell r="D421" t="str">
            <v>Norton Street</v>
          </cell>
          <cell r="E421" t="str">
            <v>Wagga Wagga</v>
          </cell>
          <cell r="F421" t="str">
            <v>2650</v>
          </cell>
          <cell r="G421" t="str">
            <v>New South Wales</v>
          </cell>
          <cell r="H421" t="str">
            <v>Australia</v>
          </cell>
          <cell r="I421" t="str">
            <v>Not Applicable</v>
          </cell>
          <cell r="J421">
            <v>0</v>
          </cell>
          <cell r="K421">
            <v>100000</v>
          </cell>
          <cell r="L421">
            <v>0</v>
          </cell>
          <cell r="M421">
            <v>0</v>
          </cell>
          <cell r="N421">
            <v>0</v>
          </cell>
          <cell r="O421">
            <v>100000</v>
          </cell>
        </row>
        <row r="422">
          <cell r="A422" t="str">
            <v>270</v>
          </cell>
          <cell r="B422" t="str">
            <v>QUARRIES NSW</v>
          </cell>
          <cell r="C422" t="str">
            <v>Property Rentals - Windsor 13 Cornwallis Rd - MQuarries</v>
          </cell>
          <cell r="D422" t="str">
            <v>Cornwallis Road</v>
          </cell>
          <cell r="E422" t="str">
            <v>Windsor</v>
          </cell>
          <cell r="F422" t="str">
            <v>2756</v>
          </cell>
          <cell r="G422" t="str">
            <v>New South Wales</v>
          </cell>
          <cell r="H422" t="str">
            <v>Australia</v>
          </cell>
          <cell r="I422" t="str">
            <v>Not Applicable</v>
          </cell>
          <cell r="J422">
            <v>0</v>
          </cell>
          <cell r="K422">
            <v>80000</v>
          </cell>
          <cell r="L422">
            <v>0</v>
          </cell>
          <cell r="M422">
            <v>0</v>
          </cell>
          <cell r="N422">
            <v>0</v>
          </cell>
          <cell r="O422">
            <v>80000</v>
          </cell>
        </row>
        <row r="423">
          <cell r="A423" t="str">
            <v>270</v>
          </cell>
          <cell r="B423" t="str">
            <v>QUARRIES NSW</v>
          </cell>
          <cell r="C423" t="str">
            <v>Property Rentals -Greystanes Orica Greystanes Rd - Metro Quarries</v>
          </cell>
          <cell r="D423" t="str">
            <v>Greystanes Road</v>
          </cell>
          <cell r="E423" t="str">
            <v>Greystanes</v>
          </cell>
          <cell r="F423" t="str">
            <v>2145</v>
          </cell>
          <cell r="G423" t="str">
            <v>New South Wales</v>
          </cell>
          <cell r="H423" t="str">
            <v>Australia</v>
          </cell>
          <cell r="I423" t="str">
            <v>Not Applicable</v>
          </cell>
          <cell r="J423">
            <v>0</v>
          </cell>
          <cell r="K423">
            <v>0</v>
          </cell>
          <cell r="L423">
            <v>0</v>
          </cell>
          <cell r="M423">
            <v>0</v>
          </cell>
          <cell r="N423">
            <v>0</v>
          </cell>
          <cell r="O423">
            <v>0</v>
          </cell>
        </row>
        <row r="424">
          <cell r="A424" t="str">
            <v>270</v>
          </cell>
          <cell r="B424" t="str">
            <v>QUARRIES NSW</v>
          </cell>
          <cell r="C424" t="str">
            <v>Property Rentals -Tamworth 49 Gunnedah Rd Metro Quarries</v>
          </cell>
          <cell r="D424" t="str">
            <v>45 - 55 Gunnedah Road</v>
          </cell>
          <cell r="E424" t="str">
            <v>Tamworth</v>
          </cell>
          <cell r="F424" t="str">
            <v>2340</v>
          </cell>
          <cell r="G424" t="str">
            <v>New South Wales</v>
          </cell>
          <cell r="H424" t="str">
            <v>Australia</v>
          </cell>
          <cell r="I424" t="str">
            <v>Not Applicable</v>
          </cell>
          <cell r="J424">
            <v>0</v>
          </cell>
          <cell r="K424">
            <v>100000</v>
          </cell>
          <cell r="L424">
            <v>0</v>
          </cell>
          <cell r="M424">
            <v>0</v>
          </cell>
          <cell r="N424">
            <v>0</v>
          </cell>
          <cell r="O424">
            <v>100000</v>
          </cell>
        </row>
        <row r="425">
          <cell r="A425" t="str">
            <v>270</v>
          </cell>
          <cell r="B425" t="str">
            <v>QUARRIES NSW</v>
          </cell>
          <cell r="C425" t="str">
            <v>Prospect New Main Office Block</v>
          </cell>
          <cell r="D425" t="str">
            <v>Lot 1 Clonies Ross Street</v>
          </cell>
          <cell r="E425" t="str">
            <v>Prospect</v>
          </cell>
          <cell r="F425" t="str">
            <v>2145</v>
          </cell>
          <cell r="G425" t="str">
            <v>New South Wales</v>
          </cell>
          <cell r="H425" t="str">
            <v>Australia</v>
          </cell>
          <cell r="I425" t="str">
            <v>Not Applicable</v>
          </cell>
          <cell r="J425">
            <v>0</v>
          </cell>
          <cell r="K425">
            <v>21400000</v>
          </cell>
          <cell r="L425">
            <v>0</v>
          </cell>
          <cell r="M425">
            <v>0</v>
          </cell>
          <cell r="N425">
            <v>0</v>
          </cell>
          <cell r="O425">
            <v>21400000</v>
          </cell>
        </row>
        <row r="426">
          <cell r="A426" t="str">
            <v>270</v>
          </cell>
          <cell r="B426" t="str">
            <v>QUARRIES NSW</v>
          </cell>
          <cell r="C426" t="str">
            <v>Prospect Quarry</v>
          </cell>
          <cell r="D426" t="str">
            <v>Greystanes Road</v>
          </cell>
          <cell r="E426" t="str">
            <v>Greystanes</v>
          </cell>
          <cell r="F426" t="str">
            <v>2145</v>
          </cell>
          <cell r="G426" t="str">
            <v>New South Wales</v>
          </cell>
          <cell r="H426" t="str">
            <v>Australia</v>
          </cell>
          <cell r="I426" t="str">
            <v>Not Applicable</v>
          </cell>
          <cell r="J426">
            <v>2500000</v>
          </cell>
          <cell r="K426">
            <v>2000000</v>
          </cell>
          <cell r="L426">
            <v>10000000</v>
          </cell>
          <cell r="M426">
            <v>2000000</v>
          </cell>
          <cell r="N426">
            <v>500000</v>
          </cell>
          <cell r="O426">
            <v>17000000</v>
          </cell>
        </row>
        <row r="427">
          <cell r="A427" t="str">
            <v>271</v>
          </cell>
          <cell r="B427" t="str">
            <v>CONCRETE NSW</v>
          </cell>
          <cell r="C427" t="str">
            <v>Artarmon Concrete Plant</v>
          </cell>
          <cell r="D427" t="str">
            <v>88 Reserve Road</v>
          </cell>
          <cell r="E427" t="str">
            <v>Artarmon</v>
          </cell>
          <cell r="F427" t="str">
            <v>2064</v>
          </cell>
          <cell r="G427" t="str">
            <v>New South Wales</v>
          </cell>
          <cell r="H427" t="str">
            <v>Australia</v>
          </cell>
          <cell r="I427" t="str">
            <v>Not Applicable</v>
          </cell>
          <cell r="J427">
            <v>60000</v>
          </cell>
          <cell r="K427">
            <v>250000</v>
          </cell>
          <cell r="L427">
            <v>1500000</v>
          </cell>
          <cell r="M427">
            <v>0</v>
          </cell>
          <cell r="N427">
            <v>2000000</v>
          </cell>
          <cell r="O427">
            <v>3810000</v>
          </cell>
        </row>
        <row r="428">
          <cell r="A428" t="str">
            <v>271</v>
          </cell>
          <cell r="B428" t="str">
            <v>CONCRETE NSW</v>
          </cell>
          <cell r="C428" t="str">
            <v>Blacktown Concrete Plant - CMG Concrete Metro Nsw</v>
          </cell>
          <cell r="D428" t="str">
            <v>Fourth Avenue</v>
          </cell>
          <cell r="E428" t="str">
            <v>Blacktown</v>
          </cell>
          <cell r="F428" t="str">
            <v>2148</v>
          </cell>
          <cell r="G428" t="str">
            <v>New South Wales</v>
          </cell>
          <cell r="H428" t="str">
            <v>Australia</v>
          </cell>
          <cell r="I428" t="str">
            <v>Not Applicable</v>
          </cell>
          <cell r="J428">
            <v>80000</v>
          </cell>
          <cell r="K428">
            <v>250000</v>
          </cell>
          <cell r="L428">
            <v>2000000</v>
          </cell>
          <cell r="M428">
            <v>0</v>
          </cell>
          <cell r="N428">
            <v>2000000</v>
          </cell>
          <cell r="O428">
            <v>4330000</v>
          </cell>
        </row>
        <row r="429">
          <cell r="A429" t="str">
            <v>271</v>
          </cell>
          <cell r="B429" t="str">
            <v>CONCRETE NSW</v>
          </cell>
          <cell r="C429" t="str">
            <v>Botany Concrete Plant</v>
          </cell>
          <cell r="D429" t="str">
            <v>Baker Street</v>
          </cell>
          <cell r="E429" t="str">
            <v>Botany</v>
          </cell>
          <cell r="F429" t="str">
            <v>2019</v>
          </cell>
          <cell r="G429" t="str">
            <v>New South Wales</v>
          </cell>
          <cell r="H429" t="str">
            <v>Australia</v>
          </cell>
          <cell r="I429" t="str">
            <v>Not Applicable</v>
          </cell>
          <cell r="J429">
            <v>80000</v>
          </cell>
          <cell r="K429">
            <v>200000</v>
          </cell>
          <cell r="L429">
            <v>2500000</v>
          </cell>
          <cell r="M429">
            <v>0</v>
          </cell>
          <cell r="N429">
            <v>2000000</v>
          </cell>
          <cell r="O429">
            <v>4780000</v>
          </cell>
        </row>
        <row r="430">
          <cell r="A430" t="str">
            <v>271</v>
          </cell>
          <cell r="B430" t="str">
            <v>CONCRETE NSW</v>
          </cell>
          <cell r="C430" t="str">
            <v>Brookvale Concrete Plant</v>
          </cell>
          <cell r="D430" t="str">
            <v>Ada Avenue</v>
          </cell>
          <cell r="E430" t="str">
            <v>Brookvale</v>
          </cell>
          <cell r="F430" t="str">
            <v>2100</v>
          </cell>
          <cell r="G430" t="str">
            <v>New South Wales</v>
          </cell>
          <cell r="H430" t="str">
            <v>Australia</v>
          </cell>
          <cell r="I430" t="str">
            <v>Not Applicable</v>
          </cell>
          <cell r="J430">
            <v>60000</v>
          </cell>
          <cell r="K430">
            <v>250000</v>
          </cell>
          <cell r="L430">
            <v>1500000</v>
          </cell>
          <cell r="M430">
            <v>0</v>
          </cell>
          <cell r="N430">
            <v>2000000</v>
          </cell>
          <cell r="O430">
            <v>3810000</v>
          </cell>
        </row>
        <row r="431">
          <cell r="A431" t="str">
            <v>271</v>
          </cell>
          <cell r="B431" t="str">
            <v>CONCRETE NSW</v>
          </cell>
          <cell r="C431" t="str">
            <v>Caringbah Concrete Plant</v>
          </cell>
          <cell r="D431" t="str">
            <v>52 Bay Road</v>
          </cell>
          <cell r="E431" t="str">
            <v>Taren Point</v>
          </cell>
          <cell r="F431" t="str">
            <v>2229</v>
          </cell>
          <cell r="G431" t="str">
            <v>New South Wales</v>
          </cell>
          <cell r="H431" t="str">
            <v>Australia</v>
          </cell>
          <cell r="I431" t="str">
            <v>Not Applicable</v>
          </cell>
          <cell r="J431">
            <v>60000</v>
          </cell>
          <cell r="K431">
            <v>250000</v>
          </cell>
          <cell r="L431">
            <v>1500000</v>
          </cell>
          <cell r="M431">
            <v>0</v>
          </cell>
          <cell r="N431">
            <v>2000000</v>
          </cell>
          <cell r="O431">
            <v>3810000</v>
          </cell>
        </row>
        <row r="432">
          <cell r="A432" t="str">
            <v>271</v>
          </cell>
          <cell r="B432" t="str">
            <v>CONCRETE NSW</v>
          </cell>
          <cell r="C432" t="str">
            <v>Enfield Concrete Plant</v>
          </cell>
          <cell r="D432" t="str">
            <v>Roberts Road</v>
          </cell>
          <cell r="E432" t="str">
            <v>Chullora</v>
          </cell>
          <cell r="F432" t="str">
            <v>2190</v>
          </cell>
          <cell r="G432" t="str">
            <v>New South Wales</v>
          </cell>
          <cell r="H432" t="str">
            <v>Australia</v>
          </cell>
          <cell r="I432" t="str">
            <v>Not Applicable</v>
          </cell>
          <cell r="J432">
            <v>150000</v>
          </cell>
          <cell r="K432">
            <v>1000000</v>
          </cell>
          <cell r="L432">
            <v>6000000</v>
          </cell>
          <cell r="M432">
            <v>0</v>
          </cell>
          <cell r="N432">
            <v>2000000</v>
          </cell>
          <cell r="O432">
            <v>9150000</v>
          </cell>
        </row>
        <row r="433">
          <cell r="A433" t="str">
            <v>271</v>
          </cell>
          <cell r="B433" t="str">
            <v>CONCRETE NSW</v>
          </cell>
          <cell r="C433" t="str">
            <v>Granville Concrete Plant</v>
          </cell>
          <cell r="D433" t="str">
            <v>Mort Street</v>
          </cell>
          <cell r="E433" t="str">
            <v>Granville</v>
          </cell>
          <cell r="F433" t="str">
            <v>2142</v>
          </cell>
          <cell r="G433" t="str">
            <v>New South Wales</v>
          </cell>
          <cell r="H433" t="str">
            <v>Australia</v>
          </cell>
          <cell r="I433" t="str">
            <v>Not Applicable</v>
          </cell>
          <cell r="J433">
            <v>60000</v>
          </cell>
          <cell r="K433">
            <v>400000</v>
          </cell>
          <cell r="L433">
            <v>2500000</v>
          </cell>
          <cell r="M433">
            <v>0</v>
          </cell>
          <cell r="N433">
            <v>2000000</v>
          </cell>
          <cell r="O433">
            <v>4960000</v>
          </cell>
        </row>
        <row r="434">
          <cell r="A434" t="str">
            <v>271</v>
          </cell>
          <cell r="B434" t="str">
            <v>CONCRETE NSW</v>
          </cell>
          <cell r="C434" t="str">
            <v>Hurstville Concrete Plant</v>
          </cell>
          <cell r="D434" t="str">
            <v>40 Waterview Cresent</v>
          </cell>
          <cell r="E434" t="str">
            <v>Carlton</v>
          </cell>
          <cell r="F434" t="str">
            <v>2218</v>
          </cell>
          <cell r="G434" t="str">
            <v>New South Wales</v>
          </cell>
          <cell r="H434" t="str">
            <v>Australia</v>
          </cell>
          <cell r="I434" t="str">
            <v>Not Applicable</v>
          </cell>
          <cell r="J434">
            <v>60000</v>
          </cell>
          <cell r="K434">
            <v>250000</v>
          </cell>
          <cell r="L434">
            <v>1500000</v>
          </cell>
          <cell r="M434">
            <v>0</v>
          </cell>
          <cell r="N434">
            <v>2000000</v>
          </cell>
          <cell r="O434">
            <v>3810000</v>
          </cell>
        </row>
        <row r="435">
          <cell r="A435" t="str">
            <v>271</v>
          </cell>
          <cell r="B435" t="str">
            <v>CONCRETE NSW</v>
          </cell>
          <cell r="C435" t="str">
            <v>Liverpool Concrete Plant</v>
          </cell>
          <cell r="D435" t="str">
            <v>Greenhills Avenue</v>
          </cell>
          <cell r="E435" t="str">
            <v>Moorebank</v>
          </cell>
          <cell r="F435" t="str">
            <v>2170</v>
          </cell>
          <cell r="G435" t="str">
            <v>New South Wales</v>
          </cell>
          <cell r="H435" t="str">
            <v>Australia</v>
          </cell>
          <cell r="I435" t="str">
            <v>Not Applicable</v>
          </cell>
          <cell r="J435">
            <v>100000</v>
          </cell>
          <cell r="K435">
            <v>250000</v>
          </cell>
          <cell r="L435">
            <v>2225000</v>
          </cell>
          <cell r="M435">
            <v>0</v>
          </cell>
          <cell r="N435">
            <v>2000000</v>
          </cell>
          <cell r="O435">
            <v>4575000</v>
          </cell>
        </row>
        <row r="436">
          <cell r="A436" t="str">
            <v>271</v>
          </cell>
          <cell r="B436" t="str">
            <v>CONCRETE NSW</v>
          </cell>
          <cell r="C436" t="str">
            <v>Minto Concrete Plant</v>
          </cell>
          <cell r="D436" t="str">
            <v>Cnr Lincoln &amp; Essex Streets</v>
          </cell>
          <cell r="E436" t="str">
            <v>Minto</v>
          </cell>
          <cell r="F436" t="str">
            <v>2566</v>
          </cell>
          <cell r="G436" t="str">
            <v>New South Wales</v>
          </cell>
          <cell r="H436" t="str">
            <v>Australia</v>
          </cell>
          <cell r="I436" t="str">
            <v>Not Applicable</v>
          </cell>
          <cell r="J436">
            <v>801000</v>
          </cell>
          <cell r="K436">
            <v>250000</v>
          </cell>
          <cell r="L436">
            <v>2500000</v>
          </cell>
          <cell r="M436">
            <v>0</v>
          </cell>
          <cell r="N436">
            <v>2000000</v>
          </cell>
          <cell r="O436">
            <v>5551000</v>
          </cell>
        </row>
        <row r="437">
          <cell r="A437" t="str">
            <v>271</v>
          </cell>
          <cell r="B437" t="str">
            <v>CONCRETE NSW</v>
          </cell>
          <cell r="C437" t="str">
            <v>Narellan Concrete Plant</v>
          </cell>
          <cell r="D437" t="str">
            <v>2 Graham Hill Road</v>
          </cell>
          <cell r="E437" t="str">
            <v>Narellan</v>
          </cell>
          <cell r="F437" t="str">
            <v>2567</v>
          </cell>
          <cell r="G437" t="str">
            <v>New South Wales</v>
          </cell>
          <cell r="H437" t="str">
            <v>Australia</v>
          </cell>
          <cell r="I437" t="str">
            <v>Not Applicable</v>
          </cell>
          <cell r="J437">
            <v>60000</v>
          </cell>
          <cell r="K437">
            <v>250000</v>
          </cell>
          <cell r="L437">
            <v>1500000</v>
          </cell>
          <cell r="M437">
            <v>0</v>
          </cell>
          <cell r="N437">
            <v>2000000</v>
          </cell>
          <cell r="O437">
            <v>3810000</v>
          </cell>
        </row>
        <row r="438">
          <cell r="A438" t="str">
            <v>271</v>
          </cell>
          <cell r="B438" t="str">
            <v>CONCRETE NSW</v>
          </cell>
          <cell r="C438" t="str">
            <v>Penrith Concrete Plant</v>
          </cell>
          <cell r="D438" t="str">
            <v>27 Peachtree Road</v>
          </cell>
          <cell r="E438" t="str">
            <v>Penrith</v>
          </cell>
          <cell r="F438" t="str">
            <v>2750</v>
          </cell>
          <cell r="G438" t="str">
            <v>New South Wales</v>
          </cell>
          <cell r="H438" t="str">
            <v>Australia</v>
          </cell>
          <cell r="I438" t="str">
            <v>Not Applicable</v>
          </cell>
          <cell r="J438">
            <v>60000</v>
          </cell>
          <cell r="K438">
            <v>250000</v>
          </cell>
          <cell r="L438">
            <v>1500000</v>
          </cell>
          <cell r="M438">
            <v>150000</v>
          </cell>
          <cell r="N438">
            <v>2000000</v>
          </cell>
          <cell r="O438">
            <v>3960000</v>
          </cell>
        </row>
        <row r="439">
          <cell r="A439" t="str">
            <v>271</v>
          </cell>
          <cell r="B439" t="str">
            <v>CONCRETE NSW</v>
          </cell>
          <cell r="C439" t="str">
            <v>Smithfield Concrete Plant</v>
          </cell>
          <cell r="D439" t="str">
            <v>Cnr Long &amp; Warren Roads</v>
          </cell>
          <cell r="E439" t="str">
            <v>Smithfield</v>
          </cell>
          <cell r="F439" t="str">
            <v>2164</v>
          </cell>
          <cell r="G439" t="str">
            <v>New South Wales</v>
          </cell>
          <cell r="H439" t="str">
            <v>Australia</v>
          </cell>
          <cell r="I439" t="str">
            <v>Not Applicable</v>
          </cell>
          <cell r="J439">
            <v>80000</v>
          </cell>
          <cell r="K439">
            <v>250000</v>
          </cell>
          <cell r="L439">
            <v>2225000</v>
          </cell>
          <cell r="M439">
            <v>0</v>
          </cell>
          <cell r="N439">
            <v>2000000</v>
          </cell>
          <cell r="O439">
            <v>4555000</v>
          </cell>
        </row>
        <row r="440">
          <cell r="A440" t="str">
            <v>271</v>
          </cell>
          <cell r="B440" t="str">
            <v>CONCRETE NSW</v>
          </cell>
          <cell r="C440" t="str">
            <v>St Marys Concrete Plant</v>
          </cell>
          <cell r="D440" t="str">
            <v>136 Christie Street</v>
          </cell>
          <cell r="E440" t="str">
            <v>St Marys</v>
          </cell>
          <cell r="F440" t="str">
            <v>2760</v>
          </cell>
          <cell r="G440" t="str">
            <v>New South Wales</v>
          </cell>
          <cell r="H440" t="str">
            <v>Australia</v>
          </cell>
          <cell r="I440" t="str">
            <v>Not Applicable</v>
          </cell>
          <cell r="J440">
            <v>60000</v>
          </cell>
          <cell r="K440">
            <v>250000</v>
          </cell>
          <cell r="L440">
            <v>1500000</v>
          </cell>
          <cell r="M440">
            <v>0</v>
          </cell>
          <cell r="N440">
            <v>2000000</v>
          </cell>
          <cell r="O440">
            <v>3810000</v>
          </cell>
        </row>
        <row r="441">
          <cell r="A441" t="str">
            <v>271</v>
          </cell>
          <cell r="B441" t="str">
            <v>CONCRETE NSW</v>
          </cell>
          <cell r="C441" t="str">
            <v>St Peters Concrete Plant</v>
          </cell>
          <cell r="D441" t="str">
            <v>Burrows Road South</v>
          </cell>
          <cell r="E441" t="str">
            <v>St Peters</v>
          </cell>
          <cell r="F441" t="str">
            <v>2044</v>
          </cell>
          <cell r="G441" t="str">
            <v>New South Wales</v>
          </cell>
          <cell r="H441" t="str">
            <v>Australia</v>
          </cell>
          <cell r="I441" t="str">
            <v>Not Applicable</v>
          </cell>
          <cell r="J441">
            <v>150000</v>
          </cell>
          <cell r="K441">
            <v>400000</v>
          </cell>
          <cell r="L441">
            <v>6000000</v>
          </cell>
          <cell r="M441">
            <v>0</v>
          </cell>
          <cell r="N441">
            <v>4000000</v>
          </cell>
          <cell r="O441">
            <v>10550000</v>
          </cell>
        </row>
        <row r="442">
          <cell r="A442" t="str">
            <v>271</v>
          </cell>
          <cell r="B442" t="str">
            <v>CONCRETE NSW</v>
          </cell>
          <cell r="C442" t="str">
            <v>Thornleigh Concrete Plant</v>
          </cell>
          <cell r="D442" t="str">
            <v>Sefton Road</v>
          </cell>
          <cell r="E442" t="str">
            <v>Thornleigh</v>
          </cell>
          <cell r="F442" t="str">
            <v>2120</v>
          </cell>
          <cell r="G442" t="str">
            <v>New South Wales</v>
          </cell>
          <cell r="H442" t="str">
            <v>Australia</v>
          </cell>
          <cell r="I442" t="str">
            <v>Not Applicable</v>
          </cell>
          <cell r="J442">
            <v>100000</v>
          </cell>
          <cell r="K442">
            <v>300000</v>
          </cell>
          <cell r="L442">
            <v>3000000</v>
          </cell>
          <cell r="M442">
            <v>0</v>
          </cell>
          <cell r="N442">
            <v>2000000</v>
          </cell>
          <cell r="O442">
            <v>5400000</v>
          </cell>
        </row>
        <row r="443">
          <cell r="A443" t="str">
            <v>271</v>
          </cell>
          <cell r="B443" t="str">
            <v>CONCRETE NSW</v>
          </cell>
          <cell r="C443" t="str">
            <v>Windsor Concrete Plant - CMG Metro NSW</v>
          </cell>
          <cell r="D443" t="str">
            <v>Speedwell Place</v>
          </cell>
          <cell r="E443" t="str">
            <v>South Windsor</v>
          </cell>
          <cell r="F443" t="str">
            <v>2756</v>
          </cell>
          <cell r="G443" t="str">
            <v>New South Wales</v>
          </cell>
          <cell r="H443" t="str">
            <v>Australia</v>
          </cell>
          <cell r="I443" t="str">
            <v>Not Applicable</v>
          </cell>
          <cell r="J443">
            <v>80000</v>
          </cell>
          <cell r="K443">
            <v>250000</v>
          </cell>
          <cell r="L443">
            <v>2000000</v>
          </cell>
          <cell r="M443">
            <v>0</v>
          </cell>
          <cell r="N443">
            <v>2000000</v>
          </cell>
          <cell r="O443">
            <v>4330000</v>
          </cell>
        </row>
        <row r="444">
          <cell r="A444" t="str">
            <v>272</v>
          </cell>
          <cell r="B444" t="str">
            <v>TRANSPORT NSW</v>
          </cell>
          <cell r="C444" t="str">
            <v>Asphalt Logistics - Boral Transport</v>
          </cell>
          <cell r="D444" t="str">
            <v>Greystanes Road</v>
          </cell>
          <cell r="E444" t="str">
            <v>Greystanes</v>
          </cell>
          <cell r="F444" t="str">
            <v>2145</v>
          </cell>
          <cell r="G444" t="str">
            <v>New South Wales</v>
          </cell>
          <cell r="H444" t="str">
            <v>Australia</v>
          </cell>
          <cell r="I444" t="str">
            <v>Not Applicable</v>
          </cell>
          <cell r="J444">
            <v>300000</v>
          </cell>
          <cell r="K444">
            <v>0</v>
          </cell>
          <cell r="L444">
            <v>500000</v>
          </cell>
          <cell r="M444">
            <v>10000</v>
          </cell>
          <cell r="N444">
            <v>50000</v>
          </cell>
          <cell r="O444">
            <v>860000</v>
          </cell>
        </row>
        <row r="445">
          <cell r="A445" t="str">
            <v>272</v>
          </cell>
          <cell r="B445" t="str">
            <v>TRANSPORT NSW</v>
          </cell>
          <cell r="C445" t="str">
            <v>B.T.M.S.</v>
          </cell>
          <cell r="D445" t="str">
            <v>Greystanes Road</v>
          </cell>
          <cell r="E445" t="str">
            <v>South Wentworthville</v>
          </cell>
          <cell r="F445" t="str">
            <v>2145</v>
          </cell>
          <cell r="G445" t="str">
            <v>New South Wales</v>
          </cell>
          <cell r="H445" t="str">
            <v>Australia</v>
          </cell>
          <cell r="I445" t="str">
            <v>Not Applicable</v>
          </cell>
          <cell r="J445">
            <v>280000</v>
          </cell>
          <cell r="K445">
            <v>0</v>
          </cell>
          <cell r="L445">
            <v>300000</v>
          </cell>
          <cell r="M445">
            <v>50000</v>
          </cell>
          <cell r="N445">
            <v>10000000</v>
          </cell>
          <cell r="O445">
            <v>10630000</v>
          </cell>
        </row>
        <row r="446">
          <cell r="A446" t="str">
            <v>272</v>
          </cell>
          <cell r="B446" t="str">
            <v>TRANSPORT NSW</v>
          </cell>
          <cell r="C446" t="str">
            <v>Blue Circle Bulk - Boral Transport</v>
          </cell>
          <cell r="D446" t="str">
            <v>Greystanes Road</v>
          </cell>
          <cell r="E446" t="str">
            <v>Greystanes</v>
          </cell>
          <cell r="F446" t="str">
            <v>2145</v>
          </cell>
          <cell r="G446" t="str">
            <v>New South Wales</v>
          </cell>
          <cell r="H446" t="str">
            <v>Australia</v>
          </cell>
          <cell r="I446" t="str">
            <v>Not Applicable</v>
          </cell>
          <cell r="J446">
            <v>300000</v>
          </cell>
          <cell r="K446">
            <v>0</v>
          </cell>
          <cell r="L446">
            <v>300000</v>
          </cell>
          <cell r="M446">
            <v>50000</v>
          </cell>
          <cell r="N446">
            <v>50000</v>
          </cell>
          <cell r="O446">
            <v>700000</v>
          </cell>
        </row>
        <row r="447">
          <cell r="A447" t="str">
            <v>272</v>
          </cell>
          <cell r="B447" t="str">
            <v>TRANSPORT NSW</v>
          </cell>
          <cell r="C447" t="str">
            <v>Boolaroo Truck Parking</v>
          </cell>
          <cell r="D447" t="str">
            <v>T.F. Frith Avenue</v>
          </cell>
          <cell r="E447" t="str">
            <v>Coffs Harbour</v>
          </cell>
          <cell r="F447" t="str">
            <v>2450</v>
          </cell>
          <cell r="G447" t="str">
            <v>New South Wales</v>
          </cell>
          <cell r="H447" t="str">
            <v>Australia</v>
          </cell>
          <cell r="I447" t="str">
            <v>Not Applicable</v>
          </cell>
          <cell r="J447">
            <v>0</v>
          </cell>
          <cell r="K447">
            <v>0</v>
          </cell>
          <cell r="L447">
            <v>0</v>
          </cell>
          <cell r="M447">
            <v>0</v>
          </cell>
          <cell r="N447">
            <v>0</v>
          </cell>
          <cell r="O447">
            <v>0</v>
          </cell>
        </row>
        <row r="448">
          <cell r="A448" t="str">
            <v>272</v>
          </cell>
          <cell r="B448" t="str">
            <v>TRANSPORT NSW</v>
          </cell>
          <cell r="C448" t="str">
            <v>Boral Transport - Doyalson</v>
          </cell>
          <cell r="D448" t="str">
            <v>Budgewoi Road</v>
          </cell>
          <cell r="E448" t="str">
            <v>Doyalson</v>
          </cell>
          <cell r="F448" t="str">
            <v>2259</v>
          </cell>
          <cell r="G448" t="str">
            <v>New South Wales</v>
          </cell>
          <cell r="H448" t="str">
            <v>Australia</v>
          </cell>
          <cell r="I448" t="str">
            <v>Not Applicable</v>
          </cell>
          <cell r="J448">
            <v>50000</v>
          </cell>
          <cell r="K448">
            <v>210000</v>
          </cell>
          <cell r="L448">
            <v>0</v>
          </cell>
          <cell r="M448">
            <v>0</v>
          </cell>
          <cell r="N448">
            <v>0</v>
          </cell>
          <cell r="O448">
            <v>260000</v>
          </cell>
        </row>
        <row r="449">
          <cell r="A449" t="str">
            <v>272</v>
          </cell>
          <cell r="B449" t="str">
            <v>TRANSPORT NSW</v>
          </cell>
          <cell r="C449" t="str">
            <v>Boral Transport - Emu Plains</v>
          </cell>
          <cell r="D449" t="str">
            <v>90 Mackeller Street</v>
          </cell>
          <cell r="E449" t="str">
            <v>Emu Plains</v>
          </cell>
          <cell r="F449" t="str">
            <v>2750</v>
          </cell>
          <cell r="G449" t="str">
            <v>New South Wales</v>
          </cell>
          <cell r="H449" t="str">
            <v>Australia</v>
          </cell>
          <cell r="I449" t="str">
            <v>Not Applicable</v>
          </cell>
          <cell r="J449">
            <v>100000</v>
          </cell>
          <cell r="K449">
            <v>0</v>
          </cell>
          <cell r="L449">
            <v>500000</v>
          </cell>
          <cell r="M449">
            <v>50000</v>
          </cell>
          <cell r="N449">
            <v>50000</v>
          </cell>
          <cell r="O449">
            <v>700000</v>
          </cell>
        </row>
        <row r="450">
          <cell r="A450" t="str">
            <v>272</v>
          </cell>
          <cell r="B450" t="str">
            <v>TRANSPORT NSW</v>
          </cell>
          <cell r="C450" t="str">
            <v>Boral Transport - Rutherford</v>
          </cell>
          <cell r="D450" t="str">
            <v>Kyle Street</v>
          </cell>
          <cell r="E450" t="str">
            <v>Rutherford</v>
          </cell>
          <cell r="F450" t="str">
            <v>2620</v>
          </cell>
          <cell r="G450" t="str">
            <v>New South Wales</v>
          </cell>
          <cell r="H450" t="str">
            <v>Australia</v>
          </cell>
          <cell r="I450" t="str">
            <v>Not Applicable</v>
          </cell>
          <cell r="J450">
            <v>0</v>
          </cell>
          <cell r="K450">
            <v>0</v>
          </cell>
          <cell r="L450">
            <v>0</v>
          </cell>
          <cell r="M450">
            <v>0</v>
          </cell>
          <cell r="N450">
            <v>0</v>
          </cell>
          <cell r="O450">
            <v>0</v>
          </cell>
        </row>
        <row r="451">
          <cell r="A451" t="str">
            <v>272</v>
          </cell>
          <cell r="B451" t="str">
            <v>TRANSPORT NSW</v>
          </cell>
          <cell r="C451" t="str">
            <v>Coffs Harbour - Transport</v>
          </cell>
          <cell r="D451" t="str">
            <v>Cnr High Tech Drive &amp; Craft Close</v>
          </cell>
          <cell r="E451" t="str">
            <v>Toormina</v>
          </cell>
          <cell r="F451" t="str">
            <v>2452</v>
          </cell>
          <cell r="G451" t="str">
            <v>New South Wales</v>
          </cell>
          <cell r="H451" t="str">
            <v>Australia</v>
          </cell>
          <cell r="I451" t="str">
            <v>Not Applicable</v>
          </cell>
          <cell r="J451">
            <v>0</v>
          </cell>
          <cell r="K451">
            <v>0</v>
          </cell>
          <cell r="L451">
            <v>0</v>
          </cell>
          <cell r="M451">
            <v>0</v>
          </cell>
          <cell r="N451">
            <v>5000</v>
          </cell>
          <cell r="O451">
            <v>5000</v>
          </cell>
        </row>
        <row r="452">
          <cell r="A452" t="str">
            <v>272</v>
          </cell>
          <cell r="B452" t="str">
            <v>TRANSPORT NSW</v>
          </cell>
          <cell r="C452" t="str">
            <v>Kempsey - Transport NSW</v>
          </cell>
          <cell r="D452" t="str">
            <v>c/o Boral Bricks  South Street</v>
          </cell>
          <cell r="E452" t="str">
            <v>Kempsey</v>
          </cell>
          <cell r="F452" t="str">
            <v>2440</v>
          </cell>
          <cell r="G452" t="str">
            <v>New South Wales</v>
          </cell>
          <cell r="H452" t="str">
            <v>Australia</v>
          </cell>
          <cell r="I452" t="str">
            <v>Not Applicable</v>
          </cell>
          <cell r="J452">
            <v>0</v>
          </cell>
          <cell r="K452">
            <v>0</v>
          </cell>
          <cell r="L452">
            <v>0</v>
          </cell>
          <cell r="M452">
            <v>0</v>
          </cell>
          <cell r="N452">
            <v>10000</v>
          </cell>
          <cell r="O452">
            <v>10000</v>
          </cell>
        </row>
        <row r="453">
          <cell r="A453" t="str">
            <v>272</v>
          </cell>
          <cell r="B453" t="str">
            <v>TRANSPORT NSW</v>
          </cell>
          <cell r="C453" t="str">
            <v>Mt Thorley</v>
          </cell>
          <cell r="D453" t="str">
            <v>Kime Road</v>
          </cell>
          <cell r="E453" t="str">
            <v>Mt Thorley</v>
          </cell>
          <cell r="F453" t="str">
            <v>2330</v>
          </cell>
          <cell r="G453" t="str">
            <v>New South Wales</v>
          </cell>
          <cell r="H453" t="str">
            <v>Australia</v>
          </cell>
          <cell r="I453" t="str">
            <v>Not Applicable</v>
          </cell>
          <cell r="J453">
            <v>120000</v>
          </cell>
          <cell r="K453">
            <v>0</v>
          </cell>
          <cell r="L453">
            <v>2620000</v>
          </cell>
          <cell r="M453">
            <v>1850000</v>
          </cell>
          <cell r="N453">
            <v>0</v>
          </cell>
          <cell r="O453">
            <v>4590000</v>
          </cell>
        </row>
        <row r="454">
          <cell r="A454" t="str">
            <v>272</v>
          </cell>
          <cell r="B454" t="str">
            <v>TRANSPORT NSW</v>
          </cell>
          <cell r="C454" t="str">
            <v>Port Kembla - Transport</v>
          </cell>
          <cell r="D454" t="str">
            <v>Five Islands Road</v>
          </cell>
          <cell r="E454" t="str">
            <v>Cringila</v>
          </cell>
          <cell r="F454" t="str">
            <v>2502</v>
          </cell>
          <cell r="G454" t="str">
            <v>New South Wales</v>
          </cell>
          <cell r="H454" t="str">
            <v>Australia</v>
          </cell>
          <cell r="I454" t="str">
            <v>Not Applicable</v>
          </cell>
          <cell r="J454">
            <v>50000</v>
          </cell>
          <cell r="K454">
            <v>700000</v>
          </cell>
          <cell r="L454">
            <v>0</v>
          </cell>
          <cell r="M454">
            <v>0</v>
          </cell>
          <cell r="N454">
            <v>0</v>
          </cell>
          <cell r="O454">
            <v>750000</v>
          </cell>
        </row>
        <row r="455">
          <cell r="A455" t="str">
            <v>272</v>
          </cell>
          <cell r="B455" t="str">
            <v>TRANSPORT NSW</v>
          </cell>
          <cell r="C455" t="str">
            <v>Port Macquarie - Transport NSW</v>
          </cell>
          <cell r="E455" t="str">
            <v>Port Macquarie</v>
          </cell>
          <cell r="G455" t="str">
            <v>New South Wales</v>
          </cell>
          <cell r="H455" t="str">
            <v>Australia</v>
          </cell>
          <cell r="I455" t="str">
            <v>Not Applicable</v>
          </cell>
          <cell r="J455">
            <v>30000</v>
          </cell>
          <cell r="K455">
            <v>0</v>
          </cell>
          <cell r="L455">
            <v>0</v>
          </cell>
          <cell r="M455">
            <v>0</v>
          </cell>
          <cell r="N455">
            <v>0</v>
          </cell>
          <cell r="O455">
            <v>30000</v>
          </cell>
        </row>
        <row r="456">
          <cell r="A456" t="str">
            <v>272</v>
          </cell>
          <cell r="B456" t="str">
            <v>TRANSPORT NSW</v>
          </cell>
          <cell r="C456" t="str">
            <v>Queanbeyan - Transport</v>
          </cell>
          <cell r="D456" t="str">
            <v>1 Lorn Road</v>
          </cell>
          <cell r="E456" t="str">
            <v>Queanbeyan</v>
          </cell>
          <cell r="F456" t="str">
            <v>2620</v>
          </cell>
          <cell r="G456" t="str">
            <v>New South Wales</v>
          </cell>
          <cell r="H456" t="str">
            <v>Australia</v>
          </cell>
          <cell r="I456" t="str">
            <v>Not Applicable</v>
          </cell>
          <cell r="J456">
            <v>0</v>
          </cell>
          <cell r="K456">
            <v>360000</v>
          </cell>
          <cell r="L456">
            <v>0</v>
          </cell>
          <cell r="M456">
            <v>10000</v>
          </cell>
          <cell r="N456">
            <v>100000</v>
          </cell>
          <cell r="O456">
            <v>470000</v>
          </cell>
        </row>
        <row r="457">
          <cell r="A457" t="str">
            <v>272</v>
          </cell>
          <cell r="B457" t="str">
            <v>TRANSPORT NSW</v>
          </cell>
          <cell r="C457" t="str">
            <v>Ravensworth - Transport</v>
          </cell>
          <cell r="D457" t="str">
            <v>New England Highway</v>
          </cell>
          <cell r="E457" t="str">
            <v>Ravensworth</v>
          </cell>
          <cell r="F457" t="str">
            <v>2330</v>
          </cell>
          <cell r="G457" t="str">
            <v>New South Wales</v>
          </cell>
          <cell r="H457" t="str">
            <v>Australia</v>
          </cell>
          <cell r="I457" t="str">
            <v>Not Applicable</v>
          </cell>
          <cell r="J457">
            <v>150000</v>
          </cell>
          <cell r="K457">
            <v>143600</v>
          </cell>
          <cell r="L457">
            <v>20000</v>
          </cell>
          <cell r="M457">
            <v>0</v>
          </cell>
          <cell r="N457">
            <v>15000</v>
          </cell>
          <cell r="O457">
            <v>328600</v>
          </cell>
        </row>
        <row r="458">
          <cell r="A458" t="str">
            <v>272</v>
          </cell>
          <cell r="B458" t="str">
            <v>TRANSPORT NSW</v>
          </cell>
          <cell r="C458" t="str">
            <v>Tamworth - Transport</v>
          </cell>
          <cell r="D458" t="str">
            <v>Gunnedah Road</v>
          </cell>
          <cell r="E458" t="str">
            <v>Tamworth</v>
          </cell>
          <cell r="F458" t="str">
            <v>2340</v>
          </cell>
          <cell r="G458" t="str">
            <v>New South Wales</v>
          </cell>
          <cell r="H458" t="str">
            <v>Australia</v>
          </cell>
          <cell r="I458" t="str">
            <v>Not Applicable</v>
          </cell>
          <cell r="J458">
            <v>30000</v>
          </cell>
          <cell r="K458">
            <v>5000</v>
          </cell>
          <cell r="L458">
            <v>0</v>
          </cell>
          <cell r="M458">
            <v>0</v>
          </cell>
          <cell r="N458">
            <v>0</v>
          </cell>
          <cell r="O458">
            <v>35000</v>
          </cell>
        </row>
        <row r="459">
          <cell r="A459" t="str">
            <v>272</v>
          </cell>
          <cell r="B459" t="str">
            <v>TRANSPORT NSW</v>
          </cell>
          <cell r="C459" t="str">
            <v>Tomago - Transport</v>
          </cell>
          <cell r="D459" t="str">
            <v>Lot 1 Old Punt Road</v>
          </cell>
          <cell r="E459" t="str">
            <v>Tomago</v>
          </cell>
          <cell r="F459" t="str">
            <v>2322</v>
          </cell>
          <cell r="G459" t="str">
            <v>New South Wales</v>
          </cell>
          <cell r="H459" t="str">
            <v>Australia</v>
          </cell>
          <cell r="I459" t="str">
            <v>Not Applicable</v>
          </cell>
          <cell r="J459">
            <v>150000</v>
          </cell>
          <cell r="K459">
            <v>0</v>
          </cell>
          <cell r="L459">
            <v>30000</v>
          </cell>
          <cell r="M459">
            <v>0</v>
          </cell>
          <cell r="N459">
            <v>0</v>
          </cell>
          <cell r="O459">
            <v>180000</v>
          </cell>
        </row>
        <row r="460">
          <cell r="A460" t="str">
            <v>273</v>
          </cell>
          <cell r="B460" t="str">
            <v>CONCRETE COUNTRY NSW</v>
          </cell>
          <cell r="C460" t="str">
            <v>Alstonville Concrete - CMG Country NSW</v>
          </cell>
          <cell r="D460" t="str">
            <v>2 Northcott Cres</v>
          </cell>
          <cell r="E460" t="str">
            <v>Alstonville</v>
          </cell>
          <cell r="F460" t="str">
            <v>2477</v>
          </cell>
          <cell r="G460" t="str">
            <v>New South Wales</v>
          </cell>
          <cell r="H460" t="str">
            <v>Australia</v>
          </cell>
          <cell r="I460" t="str">
            <v>Not Applicable</v>
          </cell>
          <cell r="J460">
            <v>20487</v>
          </cell>
          <cell r="K460">
            <v>51476</v>
          </cell>
          <cell r="L460">
            <v>780000</v>
          </cell>
          <cell r="M460">
            <v>139000</v>
          </cell>
          <cell r="N460">
            <v>1000</v>
          </cell>
          <cell r="O460">
            <v>991963</v>
          </cell>
        </row>
        <row r="461">
          <cell r="A461" t="str">
            <v>273</v>
          </cell>
          <cell r="B461" t="str">
            <v>CONCRETE COUNTRY NSW</v>
          </cell>
          <cell r="C461" t="str">
            <v>Armidale Concrete Country NSW</v>
          </cell>
          <cell r="D461" t="str">
            <v>Drew Street</v>
          </cell>
          <cell r="E461" t="str">
            <v>Armidale</v>
          </cell>
          <cell r="F461" t="str">
            <v>2350</v>
          </cell>
          <cell r="G461" t="str">
            <v>New South Wales</v>
          </cell>
          <cell r="H461" t="str">
            <v>Australia</v>
          </cell>
          <cell r="I461" t="str">
            <v>Not Applicable</v>
          </cell>
          <cell r="J461">
            <v>41080</v>
          </cell>
          <cell r="K461">
            <v>0</v>
          </cell>
          <cell r="L461">
            <v>646000</v>
          </cell>
          <cell r="M461">
            <v>134000</v>
          </cell>
          <cell r="N461">
            <v>1000</v>
          </cell>
          <cell r="O461">
            <v>822080</v>
          </cell>
        </row>
        <row r="462">
          <cell r="A462" t="str">
            <v>273</v>
          </cell>
          <cell r="B462" t="str">
            <v>CONCRETE COUNTRY NSW</v>
          </cell>
          <cell r="C462" t="str">
            <v>Ballina Concrete - CMG Country NSW</v>
          </cell>
          <cell r="D462" t="str">
            <v>Simmons Street</v>
          </cell>
          <cell r="E462" t="str">
            <v>Ballina</v>
          </cell>
          <cell r="F462" t="str">
            <v>2478</v>
          </cell>
          <cell r="G462" t="str">
            <v>New South Wales</v>
          </cell>
          <cell r="H462" t="str">
            <v>Australia</v>
          </cell>
          <cell r="I462" t="str">
            <v>Not Applicable</v>
          </cell>
          <cell r="J462">
            <v>15211</v>
          </cell>
          <cell r="K462">
            <v>50000</v>
          </cell>
          <cell r="L462">
            <v>677000</v>
          </cell>
          <cell r="M462">
            <v>158000</v>
          </cell>
          <cell r="N462">
            <v>2000</v>
          </cell>
          <cell r="O462">
            <v>902211</v>
          </cell>
        </row>
        <row r="463">
          <cell r="A463" t="str">
            <v>273</v>
          </cell>
          <cell r="B463" t="str">
            <v>CONCRETE COUNTRY NSW</v>
          </cell>
          <cell r="C463" t="str">
            <v>Batemans Bay Concrete - CM Country NSW</v>
          </cell>
          <cell r="D463" t="str">
            <v>Russel Street</v>
          </cell>
          <cell r="E463" t="str">
            <v>Batemans Bay</v>
          </cell>
          <cell r="F463" t="str">
            <v>2536</v>
          </cell>
          <cell r="G463" t="str">
            <v>New South Wales</v>
          </cell>
          <cell r="H463" t="str">
            <v>Australia</v>
          </cell>
          <cell r="I463" t="str">
            <v>Not Applicable</v>
          </cell>
          <cell r="J463">
            <v>28076</v>
          </cell>
          <cell r="K463">
            <v>36008</v>
          </cell>
          <cell r="L463">
            <v>598000</v>
          </cell>
          <cell r="M463">
            <v>129000</v>
          </cell>
          <cell r="N463">
            <v>2000</v>
          </cell>
          <cell r="O463">
            <v>793084</v>
          </cell>
        </row>
        <row r="464">
          <cell r="A464" t="str">
            <v>273</v>
          </cell>
          <cell r="B464" t="str">
            <v>CONCRETE COUNTRY NSW</v>
          </cell>
          <cell r="C464" t="str">
            <v>Batemans Bay Laboratory - Country NSW</v>
          </cell>
          <cell r="D464" t="str">
            <v>Russell Street</v>
          </cell>
          <cell r="E464" t="str">
            <v>Batemans Bay</v>
          </cell>
          <cell r="F464" t="str">
            <v>2536</v>
          </cell>
          <cell r="G464" t="str">
            <v>New South Wales</v>
          </cell>
          <cell r="H464" t="str">
            <v>Australia</v>
          </cell>
          <cell r="I464" t="str">
            <v>Not Applicable</v>
          </cell>
          <cell r="J464">
            <v>0</v>
          </cell>
          <cell r="K464">
            <v>12065</v>
          </cell>
          <cell r="L464">
            <v>3000</v>
          </cell>
          <cell r="M464">
            <v>0</v>
          </cell>
          <cell r="N464">
            <v>0</v>
          </cell>
          <cell r="O464">
            <v>15065</v>
          </cell>
        </row>
        <row r="465">
          <cell r="A465" t="str">
            <v>273</v>
          </cell>
          <cell r="B465" t="str">
            <v>CONCRETE COUNTRY NSW</v>
          </cell>
          <cell r="C465" t="str">
            <v>Bathurst Concrete - CMG Country NSW</v>
          </cell>
          <cell r="D465" t="str">
            <v>Upfold Street</v>
          </cell>
          <cell r="E465" t="str">
            <v>Bathurst</v>
          </cell>
          <cell r="F465" t="str">
            <v>2795</v>
          </cell>
          <cell r="G465" t="str">
            <v>New South Wales</v>
          </cell>
          <cell r="H465" t="str">
            <v>Australia</v>
          </cell>
          <cell r="I465" t="str">
            <v>Not Applicable</v>
          </cell>
          <cell r="J465">
            <v>20882</v>
          </cell>
          <cell r="K465">
            <v>35000</v>
          </cell>
          <cell r="L465">
            <v>503000</v>
          </cell>
          <cell r="M465">
            <v>347000</v>
          </cell>
          <cell r="N465">
            <v>158000</v>
          </cell>
          <cell r="O465">
            <v>1063882</v>
          </cell>
        </row>
        <row r="466">
          <cell r="A466" t="str">
            <v>273</v>
          </cell>
          <cell r="B466" t="str">
            <v>CONCRETE COUNTRY NSW</v>
          </cell>
          <cell r="C466" t="str">
            <v>Bega Concrete - CMG Country NSW</v>
          </cell>
          <cell r="D466" t="str">
            <v>Ridge Street</v>
          </cell>
          <cell r="E466" t="str">
            <v>Bega</v>
          </cell>
          <cell r="F466" t="str">
            <v>2550</v>
          </cell>
          <cell r="G466" t="str">
            <v>New South Wales</v>
          </cell>
          <cell r="H466" t="str">
            <v>Australia</v>
          </cell>
          <cell r="I466" t="str">
            <v>Not Applicable</v>
          </cell>
          <cell r="J466">
            <v>17612</v>
          </cell>
          <cell r="K466">
            <v>35805</v>
          </cell>
          <cell r="L466">
            <v>646000</v>
          </cell>
          <cell r="M466">
            <v>133000</v>
          </cell>
          <cell r="N466">
            <v>2000</v>
          </cell>
          <cell r="O466">
            <v>834417</v>
          </cell>
        </row>
        <row r="467">
          <cell r="A467" t="str">
            <v>273</v>
          </cell>
          <cell r="B467" t="str">
            <v>CONCRETE COUNTRY NSW</v>
          </cell>
          <cell r="C467" t="str">
            <v>Berkeley Vale Concrete  - Cmg Country Nsw</v>
          </cell>
          <cell r="D467" t="str">
            <v>Hereford Street</v>
          </cell>
          <cell r="E467" t="str">
            <v>Berkeley Vale</v>
          </cell>
          <cell r="F467" t="str">
            <v>2261</v>
          </cell>
          <cell r="G467" t="str">
            <v>New South Wales</v>
          </cell>
          <cell r="H467" t="str">
            <v>Australia</v>
          </cell>
          <cell r="I467" t="str">
            <v>Not Applicable</v>
          </cell>
          <cell r="J467">
            <v>35741</v>
          </cell>
          <cell r="K467">
            <v>47591</v>
          </cell>
          <cell r="L467">
            <v>1068000</v>
          </cell>
          <cell r="M467">
            <v>130000</v>
          </cell>
          <cell r="N467">
            <v>2000</v>
          </cell>
          <cell r="O467">
            <v>1283332</v>
          </cell>
        </row>
        <row r="468">
          <cell r="A468" t="str">
            <v>273</v>
          </cell>
          <cell r="B468" t="str">
            <v>CONCRETE COUNTRY NSW</v>
          </cell>
          <cell r="C468" t="str">
            <v>Bermagui Concrete - CMG Country NSW</v>
          </cell>
          <cell r="D468" t="str">
            <v>Stradwick Road</v>
          </cell>
          <cell r="E468" t="str">
            <v>Bermagui</v>
          </cell>
          <cell r="F468" t="str">
            <v>2546</v>
          </cell>
          <cell r="G468" t="str">
            <v>New South Wales</v>
          </cell>
          <cell r="H468" t="str">
            <v>Australia</v>
          </cell>
          <cell r="I468" t="str">
            <v>Not Applicable</v>
          </cell>
          <cell r="J468">
            <v>16035</v>
          </cell>
          <cell r="K468">
            <v>10000</v>
          </cell>
          <cell r="L468">
            <v>354000</v>
          </cell>
          <cell r="M468">
            <v>140000</v>
          </cell>
          <cell r="N468">
            <v>2000</v>
          </cell>
          <cell r="O468">
            <v>522035</v>
          </cell>
        </row>
        <row r="469">
          <cell r="A469" t="str">
            <v>273</v>
          </cell>
          <cell r="B469" t="str">
            <v>CONCRETE COUNTRY NSW</v>
          </cell>
          <cell r="C469" t="str">
            <v>Boolaroo Concrete - CMG Country NSW</v>
          </cell>
          <cell r="D469" t="str">
            <v>Cnr Seventh Street &amp; Frith Ave</v>
          </cell>
          <cell r="E469" t="str">
            <v>Boolaroo</v>
          </cell>
          <cell r="F469" t="str">
            <v>2284</v>
          </cell>
          <cell r="G469" t="str">
            <v>New South Wales</v>
          </cell>
          <cell r="H469" t="str">
            <v>Australia</v>
          </cell>
          <cell r="I469" t="str">
            <v>Not Applicable</v>
          </cell>
          <cell r="J469">
            <v>31064</v>
          </cell>
          <cell r="K469">
            <v>2588</v>
          </cell>
          <cell r="L469">
            <v>570000</v>
          </cell>
          <cell r="M469">
            <v>140000</v>
          </cell>
          <cell r="N469">
            <v>2000</v>
          </cell>
          <cell r="O469">
            <v>745652</v>
          </cell>
        </row>
        <row r="470">
          <cell r="A470" t="str">
            <v>273</v>
          </cell>
          <cell r="B470" t="str">
            <v>CONCRETE COUNTRY NSW</v>
          </cell>
          <cell r="C470" t="str">
            <v>Burrier Laboratory - Concrete Country NSW</v>
          </cell>
          <cell r="D470" t="str">
            <v>Burrier Road</v>
          </cell>
          <cell r="E470" t="str">
            <v>Burrier</v>
          </cell>
          <cell r="F470" t="str">
            <v>2540</v>
          </cell>
          <cell r="G470" t="str">
            <v>New South Wales</v>
          </cell>
          <cell r="H470" t="str">
            <v>Australia</v>
          </cell>
          <cell r="I470" t="str">
            <v>Not Applicable</v>
          </cell>
          <cell r="J470">
            <v>0</v>
          </cell>
          <cell r="K470">
            <v>20000</v>
          </cell>
          <cell r="L470">
            <v>4000</v>
          </cell>
          <cell r="M470">
            <v>0</v>
          </cell>
          <cell r="N470">
            <v>2000</v>
          </cell>
          <cell r="O470">
            <v>26000</v>
          </cell>
        </row>
        <row r="471">
          <cell r="A471" t="str">
            <v>273</v>
          </cell>
          <cell r="B471" t="str">
            <v>CONCRETE COUNTRY NSW</v>
          </cell>
          <cell r="C471" t="str">
            <v>Canberra C Workshop - CMG Country NSW</v>
          </cell>
          <cell r="E471" t="str">
            <v>Canberra</v>
          </cell>
          <cell r="G471" t="str">
            <v>Australian Capital Territory</v>
          </cell>
          <cell r="H471" t="str">
            <v>Australia</v>
          </cell>
          <cell r="I471" t="str">
            <v>Not Applicable</v>
          </cell>
          <cell r="J471">
            <v>0</v>
          </cell>
          <cell r="K471">
            <v>7750</v>
          </cell>
          <cell r="L471">
            <v>0</v>
          </cell>
          <cell r="M471">
            <v>0</v>
          </cell>
          <cell r="N471">
            <v>0</v>
          </cell>
          <cell r="O471">
            <v>7750</v>
          </cell>
        </row>
        <row r="472">
          <cell r="A472" t="str">
            <v>273</v>
          </cell>
          <cell r="B472" t="str">
            <v>CONCRETE COUNTRY NSW</v>
          </cell>
          <cell r="C472" t="str">
            <v>Carrington Concrete</v>
          </cell>
          <cell r="D472" t="str">
            <v>Corner Lott &amp; Cowper St</v>
          </cell>
          <cell r="E472" t="str">
            <v>Carrington</v>
          </cell>
          <cell r="F472" t="str">
            <v>2294</v>
          </cell>
          <cell r="G472" t="str">
            <v>New South Wales</v>
          </cell>
          <cell r="H472" t="str">
            <v>Australia</v>
          </cell>
          <cell r="I472" t="str">
            <v>Not Applicable</v>
          </cell>
          <cell r="J472">
            <v>0</v>
          </cell>
          <cell r="K472">
            <v>12000</v>
          </cell>
          <cell r="L472">
            <v>0</v>
          </cell>
          <cell r="M472">
            <v>0</v>
          </cell>
          <cell r="N472">
            <v>0</v>
          </cell>
          <cell r="O472">
            <v>12000</v>
          </cell>
        </row>
        <row r="473">
          <cell r="A473" t="str">
            <v>273</v>
          </cell>
          <cell r="B473" t="str">
            <v>CONCRETE COUNTRY NSW</v>
          </cell>
          <cell r="C473" t="str">
            <v>Carrington Lab</v>
          </cell>
          <cell r="D473" t="str">
            <v>Corner Lott &amp; Cowper St</v>
          </cell>
          <cell r="E473" t="str">
            <v>Carrington</v>
          </cell>
          <cell r="F473" t="str">
            <v>2294</v>
          </cell>
          <cell r="G473" t="str">
            <v>New South Wales</v>
          </cell>
          <cell r="H473" t="str">
            <v>Australia</v>
          </cell>
          <cell r="I473" t="str">
            <v>Not Applicable</v>
          </cell>
          <cell r="J473">
            <v>0</v>
          </cell>
          <cell r="K473">
            <v>145000</v>
          </cell>
          <cell r="L473">
            <v>0</v>
          </cell>
          <cell r="M473">
            <v>535000</v>
          </cell>
          <cell r="N473">
            <v>0</v>
          </cell>
          <cell r="O473">
            <v>680000</v>
          </cell>
        </row>
        <row r="474">
          <cell r="A474" t="str">
            <v>273</v>
          </cell>
          <cell r="B474" t="str">
            <v>CONCRETE COUNTRY NSW</v>
          </cell>
          <cell r="C474" t="str">
            <v>Casino Concrete Country</v>
          </cell>
          <cell r="D474" t="str">
            <v>Colches Street</v>
          </cell>
          <cell r="E474" t="str">
            <v>Casino</v>
          </cell>
          <cell r="F474" t="str">
            <v>2470</v>
          </cell>
          <cell r="G474" t="str">
            <v>New South Wales</v>
          </cell>
          <cell r="H474" t="str">
            <v>Australia</v>
          </cell>
          <cell r="I474" t="str">
            <v>Not Applicable</v>
          </cell>
          <cell r="J474">
            <v>12112</v>
          </cell>
          <cell r="K474">
            <v>15000</v>
          </cell>
          <cell r="L474">
            <v>326000</v>
          </cell>
          <cell r="M474">
            <v>143000</v>
          </cell>
          <cell r="N474">
            <v>2000</v>
          </cell>
          <cell r="O474">
            <v>498112</v>
          </cell>
        </row>
        <row r="475">
          <cell r="A475" t="str">
            <v>273</v>
          </cell>
          <cell r="B475" t="str">
            <v>CONCRETE COUNTRY NSW</v>
          </cell>
          <cell r="C475" t="str">
            <v>Central Administration - CMG Country Concrete NSW`</v>
          </cell>
          <cell r="D475" t="str">
            <v>Greystanes Road</v>
          </cell>
          <cell r="E475" t="str">
            <v>Greystanes</v>
          </cell>
          <cell r="F475" t="str">
            <v>2145</v>
          </cell>
          <cell r="G475" t="str">
            <v>New South Wales</v>
          </cell>
          <cell r="H475" t="str">
            <v>Australia</v>
          </cell>
          <cell r="I475" t="str">
            <v>Not Applicable</v>
          </cell>
          <cell r="J475">
            <v>0</v>
          </cell>
          <cell r="K475">
            <v>0</v>
          </cell>
          <cell r="L475">
            <v>267000</v>
          </cell>
          <cell r="M475">
            <v>29000</v>
          </cell>
          <cell r="N475">
            <v>5000</v>
          </cell>
          <cell r="O475">
            <v>301000</v>
          </cell>
        </row>
        <row r="476">
          <cell r="A476" t="str">
            <v>273</v>
          </cell>
          <cell r="B476" t="str">
            <v>CONCRETE COUNTRY NSW</v>
          </cell>
          <cell r="C476" t="str">
            <v>Cobar Concrete</v>
          </cell>
          <cell r="D476" t="str">
            <v>Old Bourke Road</v>
          </cell>
          <cell r="E476" t="str">
            <v>Cobar</v>
          </cell>
          <cell r="F476" t="str">
            <v>2835</v>
          </cell>
          <cell r="G476" t="str">
            <v>New South Wales</v>
          </cell>
          <cell r="H476" t="str">
            <v>Australia</v>
          </cell>
          <cell r="I476" t="str">
            <v>Not Applicable</v>
          </cell>
          <cell r="J476">
            <v>28233</v>
          </cell>
          <cell r="K476">
            <v>6088</v>
          </cell>
          <cell r="L476">
            <v>286000</v>
          </cell>
          <cell r="M476">
            <v>0</v>
          </cell>
          <cell r="N476">
            <v>138000</v>
          </cell>
          <cell r="O476">
            <v>458321</v>
          </cell>
        </row>
        <row r="477">
          <cell r="A477" t="str">
            <v>273</v>
          </cell>
          <cell r="B477" t="str">
            <v>CONCRETE COUNTRY NSW</v>
          </cell>
          <cell r="C477" t="str">
            <v>Coffs Harbour Concrete Country</v>
          </cell>
          <cell r="D477" t="str">
            <v>O'Keefe Drive</v>
          </cell>
          <cell r="E477" t="str">
            <v>Coffs Harbour</v>
          </cell>
          <cell r="F477" t="str">
            <v>2450</v>
          </cell>
          <cell r="G477" t="str">
            <v>New South Wales</v>
          </cell>
          <cell r="H477" t="str">
            <v>Australia</v>
          </cell>
          <cell r="I477" t="str">
            <v>Not Applicable</v>
          </cell>
          <cell r="J477">
            <v>19950</v>
          </cell>
          <cell r="K477">
            <v>90000</v>
          </cell>
          <cell r="L477">
            <v>942000</v>
          </cell>
          <cell r="M477">
            <v>352000</v>
          </cell>
          <cell r="N477">
            <v>10000</v>
          </cell>
          <cell r="O477">
            <v>1413950</v>
          </cell>
        </row>
        <row r="478">
          <cell r="A478" t="str">
            <v>273</v>
          </cell>
          <cell r="B478" t="str">
            <v>CONCRETE COUNTRY NSW</v>
          </cell>
          <cell r="C478" t="str">
            <v>Coonabarabran Concrete</v>
          </cell>
          <cell r="D478" t="str">
            <v>Oxley Highway</v>
          </cell>
          <cell r="E478" t="str">
            <v>Coonabarabran</v>
          </cell>
          <cell r="F478" t="str">
            <v>2357</v>
          </cell>
          <cell r="G478" t="str">
            <v>New South Wales</v>
          </cell>
          <cell r="H478" t="str">
            <v>Australia</v>
          </cell>
          <cell r="I478" t="str">
            <v>Not Applicable</v>
          </cell>
          <cell r="J478">
            <v>13863</v>
          </cell>
          <cell r="K478">
            <v>10000</v>
          </cell>
          <cell r="L478">
            <v>135000</v>
          </cell>
          <cell r="M478">
            <v>114000</v>
          </cell>
          <cell r="N478">
            <v>49000</v>
          </cell>
          <cell r="O478">
            <v>321863</v>
          </cell>
        </row>
        <row r="479">
          <cell r="A479" t="str">
            <v>273</v>
          </cell>
          <cell r="B479" t="str">
            <v>CONCRETE COUNTRY NSW</v>
          </cell>
          <cell r="C479" t="str">
            <v>Coonamble Concrete</v>
          </cell>
          <cell r="D479" t="str">
            <v>Cnr. Wilga &amp; Reids Streets</v>
          </cell>
          <cell r="E479" t="str">
            <v>Coonamble</v>
          </cell>
          <cell r="F479" t="str">
            <v>2829</v>
          </cell>
          <cell r="G479" t="str">
            <v>New South Wales</v>
          </cell>
          <cell r="H479" t="str">
            <v>Australia</v>
          </cell>
          <cell r="I479" t="str">
            <v>Not Applicable</v>
          </cell>
          <cell r="J479">
            <v>9218</v>
          </cell>
          <cell r="K479">
            <v>35000</v>
          </cell>
          <cell r="L479">
            <v>124000</v>
          </cell>
          <cell r="M479">
            <v>284000</v>
          </cell>
          <cell r="N479">
            <v>55000</v>
          </cell>
          <cell r="O479">
            <v>507218</v>
          </cell>
        </row>
        <row r="480">
          <cell r="A480" t="str">
            <v>273</v>
          </cell>
          <cell r="B480" t="str">
            <v>CONCRETE COUNTRY NSW</v>
          </cell>
          <cell r="C480" t="str">
            <v>Doyalson Concrete - CMG Country Concrete NSW</v>
          </cell>
          <cell r="D480" t="str">
            <v>Budgewoi Road</v>
          </cell>
          <cell r="E480" t="str">
            <v>Doyalson</v>
          </cell>
          <cell r="F480" t="str">
            <v>2262</v>
          </cell>
          <cell r="G480" t="str">
            <v>New South Wales</v>
          </cell>
          <cell r="H480" t="str">
            <v>Australia</v>
          </cell>
          <cell r="I480" t="str">
            <v>Not Applicable</v>
          </cell>
          <cell r="J480">
            <v>26024</v>
          </cell>
          <cell r="K480">
            <v>55709</v>
          </cell>
          <cell r="L480">
            <v>1084000</v>
          </cell>
          <cell r="M480">
            <v>135000</v>
          </cell>
          <cell r="N480">
            <v>2000</v>
          </cell>
          <cell r="O480">
            <v>1302733</v>
          </cell>
        </row>
        <row r="481">
          <cell r="A481" t="str">
            <v>273</v>
          </cell>
          <cell r="B481" t="str">
            <v>CONCRETE COUNTRY NSW</v>
          </cell>
          <cell r="C481" t="str">
            <v>Dubbo Concrete - CMG Country Concrete NSW</v>
          </cell>
          <cell r="D481" t="str">
            <v>Jannali Road</v>
          </cell>
          <cell r="E481" t="str">
            <v>Dubbo</v>
          </cell>
          <cell r="F481" t="str">
            <v>2830</v>
          </cell>
          <cell r="G481" t="str">
            <v>New South Wales</v>
          </cell>
          <cell r="H481" t="str">
            <v>Australia</v>
          </cell>
          <cell r="I481" t="str">
            <v>Not Applicable</v>
          </cell>
          <cell r="J481">
            <v>14205</v>
          </cell>
          <cell r="K481">
            <v>66676</v>
          </cell>
          <cell r="L481">
            <v>407000</v>
          </cell>
          <cell r="M481">
            <v>0</v>
          </cell>
          <cell r="N481">
            <v>171000</v>
          </cell>
          <cell r="O481">
            <v>658881</v>
          </cell>
        </row>
        <row r="482">
          <cell r="A482" t="str">
            <v>273</v>
          </cell>
          <cell r="B482" t="str">
            <v>CONCRETE COUNTRY NSW</v>
          </cell>
          <cell r="C482" t="str">
            <v>Dunmore Concrete - CMG Country NSW</v>
          </cell>
          <cell r="D482" t="str">
            <v>Locking Hill</v>
          </cell>
          <cell r="E482" t="str">
            <v>Dunmore</v>
          </cell>
          <cell r="F482" t="str">
            <v>2531</v>
          </cell>
          <cell r="G482" t="str">
            <v>New South Wales</v>
          </cell>
          <cell r="H482" t="str">
            <v>Australia</v>
          </cell>
          <cell r="I482" t="str">
            <v>Not Applicable</v>
          </cell>
          <cell r="J482">
            <v>22846</v>
          </cell>
          <cell r="K482">
            <v>4000</v>
          </cell>
          <cell r="L482">
            <v>1039000</v>
          </cell>
          <cell r="M482">
            <v>108000</v>
          </cell>
          <cell r="N482">
            <v>2000</v>
          </cell>
          <cell r="O482">
            <v>1175846</v>
          </cell>
        </row>
        <row r="483">
          <cell r="A483" t="str">
            <v>273</v>
          </cell>
          <cell r="B483" t="str">
            <v>CONCRETE COUNTRY NSW</v>
          </cell>
          <cell r="C483" t="str">
            <v>Forbes Concrete - CMG Country NSW</v>
          </cell>
          <cell r="D483" t="str">
            <v>Sam Street</v>
          </cell>
          <cell r="E483" t="str">
            <v>Forbes</v>
          </cell>
          <cell r="F483" t="str">
            <v>2871</v>
          </cell>
          <cell r="G483" t="str">
            <v>New South Wales</v>
          </cell>
          <cell r="H483" t="str">
            <v>Australia</v>
          </cell>
          <cell r="I483" t="str">
            <v>Not Applicable</v>
          </cell>
          <cell r="J483">
            <v>16683</v>
          </cell>
          <cell r="K483">
            <v>10000</v>
          </cell>
          <cell r="L483">
            <v>167000</v>
          </cell>
          <cell r="M483">
            <v>24000</v>
          </cell>
          <cell r="N483">
            <v>50000</v>
          </cell>
          <cell r="O483">
            <v>267683</v>
          </cell>
        </row>
        <row r="484">
          <cell r="A484" t="str">
            <v>273</v>
          </cell>
          <cell r="B484" t="str">
            <v>CONCRETE COUNTRY NSW</v>
          </cell>
          <cell r="C484" t="str">
            <v>Gateshead Concrete - CMG Country Concrete NSW</v>
          </cell>
          <cell r="D484" t="str">
            <v>Oakdale Road</v>
          </cell>
          <cell r="E484" t="str">
            <v>Gateshead</v>
          </cell>
          <cell r="F484" t="str">
            <v>2290</v>
          </cell>
          <cell r="G484" t="str">
            <v>New South Wales</v>
          </cell>
          <cell r="H484" t="str">
            <v>Australia</v>
          </cell>
          <cell r="I484" t="str">
            <v>Not Applicable</v>
          </cell>
          <cell r="J484">
            <v>25452</v>
          </cell>
          <cell r="K484">
            <v>82000</v>
          </cell>
          <cell r="L484">
            <v>1243000</v>
          </cell>
          <cell r="M484">
            <v>149000</v>
          </cell>
          <cell r="N484">
            <v>2000</v>
          </cell>
          <cell r="O484">
            <v>1501452</v>
          </cell>
        </row>
        <row r="485">
          <cell r="A485" t="str">
            <v>273</v>
          </cell>
          <cell r="B485" t="str">
            <v>CONCRETE COUNTRY NSW</v>
          </cell>
          <cell r="C485" t="str">
            <v>Gilgandra Concrete Plant</v>
          </cell>
          <cell r="D485" t="str">
            <v>Narden Drive</v>
          </cell>
          <cell r="E485" t="str">
            <v>Gilgandra</v>
          </cell>
          <cell r="F485" t="str">
            <v>2872</v>
          </cell>
          <cell r="G485" t="str">
            <v>New South Wales</v>
          </cell>
          <cell r="H485" t="str">
            <v>Australia</v>
          </cell>
          <cell r="I485" t="str">
            <v>Not Applicable</v>
          </cell>
          <cell r="J485">
            <v>12770</v>
          </cell>
          <cell r="K485">
            <v>1000</v>
          </cell>
          <cell r="L485">
            <v>250000</v>
          </cell>
          <cell r="M485">
            <v>138000</v>
          </cell>
          <cell r="N485">
            <v>44000</v>
          </cell>
          <cell r="O485">
            <v>445770</v>
          </cell>
        </row>
        <row r="486">
          <cell r="A486" t="str">
            <v>273</v>
          </cell>
          <cell r="B486" t="str">
            <v>CONCRETE COUNTRY NSW</v>
          </cell>
          <cell r="C486" t="str">
            <v>Goulburn Concrete - CMG Country NSW</v>
          </cell>
          <cell r="D486" t="str">
            <v>Corner Knox and Lansdown Streets</v>
          </cell>
          <cell r="E486" t="str">
            <v>Goulburn</v>
          </cell>
          <cell r="F486" t="str">
            <v>2580</v>
          </cell>
          <cell r="G486" t="str">
            <v>New South Wales</v>
          </cell>
          <cell r="H486" t="str">
            <v>Australia</v>
          </cell>
          <cell r="I486" t="str">
            <v>Not Applicable</v>
          </cell>
          <cell r="J486">
            <v>10467</v>
          </cell>
          <cell r="K486">
            <v>40000</v>
          </cell>
          <cell r="L486">
            <v>31000</v>
          </cell>
          <cell r="M486">
            <v>259000</v>
          </cell>
          <cell r="N486">
            <v>2000</v>
          </cell>
          <cell r="O486">
            <v>342467</v>
          </cell>
        </row>
        <row r="487">
          <cell r="A487" t="str">
            <v>273</v>
          </cell>
          <cell r="B487" t="str">
            <v>CONCRETE COUNTRY NSW</v>
          </cell>
          <cell r="C487" t="str">
            <v>Grafton Concrete - CMG Country Concrete NSW</v>
          </cell>
          <cell r="D487" t="str">
            <v>Turf Street</v>
          </cell>
          <cell r="E487" t="str">
            <v>Grafton</v>
          </cell>
          <cell r="F487" t="str">
            <v>2460</v>
          </cell>
          <cell r="G487" t="str">
            <v>New South Wales</v>
          </cell>
          <cell r="H487" t="str">
            <v>Australia</v>
          </cell>
          <cell r="I487" t="str">
            <v>Not Applicable</v>
          </cell>
          <cell r="J487">
            <v>23367</v>
          </cell>
          <cell r="K487">
            <v>200000</v>
          </cell>
          <cell r="L487">
            <v>422000</v>
          </cell>
          <cell r="M487">
            <v>0</v>
          </cell>
          <cell r="N487">
            <v>20000</v>
          </cell>
          <cell r="O487">
            <v>665367</v>
          </cell>
        </row>
        <row r="488">
          <cell r="A488" t="str">
            <v>273</v>
          </cell>
          <cell r="B488" t="str">
            <v>CONCRETE COUNTRY NSW</v>
          </cell>
          <cell r="C488" t="str">
            <v>Grafton Lab</v>
          </cell>
          <cell r="D488" t="str">
            <v>1 Truf St</v>
          </cell>
          <cell r="E488" t="str">
            <v>Grafton</v>
          </cell>
          <cell r="F488" t="str">
            <v>2460</v>
          </cell>
          <cell r="G488" t="str">
            <v>New South Wales</v>
          </cell>
          <cell r="H488" t="str">
            <v>Australia</v>
          </cell>
          <cell r="I488" t="str">
            <v>Not Applicable</v>
          </cell>
          <cell r="J488">
            <v>0</v>
          </cell>
          <cell r="K488">
            <v>20000</v>
          </cell>
          <cell r="L488">
            <v>78000</v>
          </cell>
          <cell r="M488">
            <v>0</v>
          </cell>
          <cell r="N488">
            <v>0</v>
          </cell>
          <cell r="O488">
            <v>98000</v>
          </cell>
        </row>
        <row r="489">
          <cell r="A489" t="str">
            <v>273</v>
          </cell>
          <cell r="B489" t="str">
            <v>CONCRETE COUNTRY NSW</v>
          </cell>
          <cell r="C489" t="str">
            <v>Gunnedah Concrete</v>
          </cell>
          <cell r="D489" t="str">
            <v>Mullaley Road</v>
          </cell>
          <cell r="E489" t="str">
            <v>Gunnedah</v>
          </cell>
          <cell r="F489" t="str">
            <v>2380</v>
          </cell>
          <cell r="G489" t="str">
            <v>New South Wales</v>
          </cell>
          <cell r="H489" t="str">
            <v>Australia</v>
          </cell>
          <cell r="I489" t="str">
            <v>Not Applicable</v>
          </cell>
          <cell r="J489">
            <v>11595</v>
          </cell>
          <cell r="K489">
            <v>25000</v>
          </cell>
          <cell r="L489">
            <v>283000</v>
          </cell>
          <cell r="M489">
            <v>131000</v>
          </cell>
          <cell r="N489">
            <v>1000</v>
          </cell>
          <cell r="O489">
            <v>451595</v>
          </cell>
        </row>
        <row r="490">
          <cell r="A490" t="str">
            <v>273</v>
          </cell>
          <cell r="B490" t="str">
            <v>CONCRETE COUNTRY NSW</v>
          </cell>
          <cell r="C490" t="str">
            <v>Hall Concrete Country</v>
          </cell>
          <cell r="D490" t="str">
            <v>Kaveney Rd Via Barton Highway</v>
          </cell>
          <cell r="E490" t="str">
            <v>Hall</v>
          </cell>
          <cell r="F490" t="str">
            <v>2618</v>
          </cell>
          <cell r="G490" t="str">
            <v>New South Wales</v>
          </cell>
          <cell r="H490" t="str">
            <v>Australia</v>
          </cell>
          <cell r="I490" t="str">
            <v>Not Applicable</v>
          </cell>
          <cell r="J490">
            <v>6400</v>
          </cell>
          <cell r="K490">
            <v>0</v>
          </cell>
          <cell r="L490">
            <v>100000</v>
          </cell>
          <cell r="M490">
            <v>0</v>
          </cell>
          <cell r="N490">
            <v>0</v>
          </cell>
          <cell r="O490">
            <v>106400</v>
          </cell>
        </row>
        <row r="491">
          <cell r="A491" t="str">
            <v>273</v>
          </cell>
          <cell r="B491" t="str">
            <v>CONCRETE COUNTRY NSW</v>
          </cell>
          <cell r="C491" t="str">
            <v>Heatherbrae Concrete</v>
          </cell>
          <cell r="D491" t="str">
            <v>Motto Lane</v>
          </cell>
          <cell r="E491" t="str">
            <v>Heatherbrae</v>
          </cell>
          <cell r="F491" t="str">
            <v>2324</v>
          </cell>
          <cell r="G491" t="str">
            <v>New South Wales</v>
          </cell>
          <cell r="H491" t="str">
            <v>Australia</v>
          </cell>
          <cell r="I491" t="str">
            <v>Not Applicable</v>
          </cell>
          <cell r="J491">
            <v>23237</v>
          </cell>
          <cell r="K491">
            <v>37045</v>
          </cell>
          <cell r="L491">
            <v>727000</v>
          </cell>
          <cell r="M491">
            <v>124000</v>
          </cell>
          <cell r="N491">
            <v>2000</v>
          </cell>
          <cell r="O491">
            <v>913282</v>
          </cell>
        </row>
        <row r="492">
          <cell r="A492" t="str">
            <v>273</v>
          </cell>
          <cell r="B492" t="str">
            <v>CONCRETE COUNTRY NSW</v>
          </cell>
          <cell r="C492" t="str">
            <v>Huskission Concrete</v>
          </cell>
          <cell r="D492" t="str">
            <v>Duranban Drive</v>
          </cell>
          <cell r="E492" t="str">
            <v>Huskisson</v>
          </cell>
          <cell r="F492" t="str">
            <v>2540</v>
          </cell>
          <cell r="G492" t="str">
            <v>New South Wales</v>
          </cell>
          <cell r="H492" t="str">
            <v>Australia</v>
          </cell>
          <cell r="I492" t="str">
            <v>Not Applicable</v>
          </cell>
          <cell r="J492">
            <v>10764</v>
          </cell>
          <cell r="K492">
            <v>25000</v>
          </cell>
          <cell r="L492">
            <v>502000</v>
          </cell>
          <cell r="M492">
            <v>129000</v>
          </cell>
          <cell r="N492">
            <v>2000</v>
          </cell>
          <cell r="O492">
            <v>668764</v>
          </cell>
        </row>
        <row r="493">
          <cell r="A493" t="str">
            <v>273</v>
          </cell>
          <cell r="B493" t="str">
            <v>CONCRETE COUNTRY NSW</v>
          </cell>
          <cell r="C493" t="str">
            <v>Inverell Concrete</v>
          </cell>
          <cell r="D493" t="str">
            <v>Ring Street</v>
          </cell>
          <cell r="E493" t="str">
            <v>Inverell</v>
          </cell>
          <cell r="F493" t="str">
            <v>2360</v>
          </cell>
          <cell r="G493" t="str">
            <v>New South Wales</v>
          </cell>
          <cell r="H493" t="str">
            <v>Australia</v>
          </cell>
          <cell r="I493" t="str">
            <v>Not Applicable</v>
          </cell>
          <cell r="J493">
            <v>19950</v>
          </cell>
          <cell r="K493">
            <v>30000</v>
          </cell>
          <cell r="L493">
            <v>447000</v>
          </cell>
          <cell r="M493">
            <v>122000</v>
          </cell>
          <cell r="N493">
            <v>50000</v>
          </cell>
          <cell r="O493">
            <v>668950</v>
          </cell>
        </row>
        <row r="494">
          <cell r="A494" t="str">
            <v>273</v>
          </cell>
          <cell r="B494" t="str">
            <v>CONCRETE COUNTRY NSW</v>
          </cell>
          <cell r="C494" t="str">
            <v>Jesmond Concrete</v>
          </cell>
          <cell r="D494" t="str">
            <v>Mordue Parade</v>
          </cell>
          <cell r="E494" t="str">
            <v>Jesmond</v>
          </cell>
          <cell r="F494" t="str">
            <v>2299</v>
          </cell>
          <cell r="G494" t="str">
            <v>New South Wales</v>
          </cell>
          <cell r="H494" t="str">
            <v>Australia</v>
          </cell>
          <cell r="I494" t="str">
            <v>Not Applicable</v>
          </cell>
          <cell r="J494">
            <v>20058</v>
          </cell>
          <cell r="K494">
            <v>91250</v>
          </cell>
          <cell r="L494">
            <v>298000</v>
          </cell>
          <cell r="M494">
            <v>229000</v>
          </cell>
          <cell r="N494">
            <v>2000</v>
          </cell>
          <cell r="O494">
            <v>640308</v>
          </cell>
        </row>
        <row r="495">
          <cell r="A495" t="str">
            <v>273</v>
          </cell>
          <cell r="B495" t="str">
            <v>CONCRETE COUNTRY NSW</v>
          </cell>
          <cell r="C495" t="str">
            <v>Jindabyne Concrete</v>
          </cell>
          <cell r="D495" t="str">
            <v>Lot 16 Crawford Street</v>
          </cell>
          <cell r="E495" t="str">
            <v>Jindabyne</v>
          </cell>
          <cell r="F495" t="str">
            <v>2627</v>
          </cell>
          <cell r="G495" t="str">
            <v>New South Wales</v>
          </cell>
          <cell r="H495" t="str">
            <v>Australia</v>
          </cell>
          <cell r="I495" t="str">
            <v>Not Applicable</v>
          </cell>
          <cell r="J495">
            <v>26700</v>
          </cell>
          <cell r="K495">
            <v>20000</v>
          </cell>
          <cell r="L495">
            <v>572000</v>
          </cell>
          <cell r="M495">
            <v>148000</v>
          </cell>
          <cell r="N495">
            <v>2000</v>
          </cell>
          <cell r="O495">
            <v>768700</v>
          </cell>
        </row>
        <row r="496">
          <cell r="A496" t="str">
            <v>273</v>
          </cell>
          <cell r="B496" t="str">
            <v>CONCRETE COUNTRY NSW</v>
          </cell>
          <cell r="C496" t="str">
            <v>Johns River Laboratory</v>
          </cell>
          <cell r="D496" t="str">
            <v>Off Pacific Highway</v>
          </cell>
          <cell r="E496" t="str">
            <v>Johns River</v>
          </cell>
          <cell r="F496" t="str">
            <v>2443</v>
          </cell>
          <cell r="G496" t="str">
            <v>New South Wales</v>
          </cell>
          <cell r="H496" t="str">
            <v>Australia</v>
          </cell>
          <cell r="I496" t="str">
            <v>Not Applicable</v>
          </cell>
          <cell r="J496">
            <v>0</v>
          </cell>
          <cell r="K496">
            <v>30000</v>
          </cell>
          <cell r="L496">
            <v>24000</v>
          </cell>
          <cell r="M496">
            <v>0</v>
          </cell>
          <cell r="N496">
            <v>0</v>
          </cell>
          <cell r="O496">
            <v>54000</v>
          </cell>
        </row>
        <row r="497">
          <cell r="A497" t="str">
            <v>273</v>
          </cell>
          <cell r="B497" t="str">
            <v>CONCRETE COUNTRY NSW</v>
          </cell>
          <cell r="C497" t="str">
            <v>Kempsey Concrete - CMG Country Concrete NSW</v>
          </cell>
          <cell r="D497" t="str">
            <v>River Street</v>
          </cell>
          <cell r="E497" t="str">
            <v>Kempsey</v>
          </cell>
          <cell r="F497" t="str">
            <v>2440</v>
          </cell>
          <cell r="G497" t="str">
            <v>New South Wales</v>
          </cell>
          <cell r="H497" t="str">
            <v>Australia</v>
          </cell>
          <cell r="I497" t="str">
            <v>Not Applicable</v>
          </cell>
          <cell r="J497">
            <v>0</v>
          </cell>
          <cell r="K497">
            <v>25000</v>
          </cell>
          <cell r="L497">
            <v>0</v>
          </cell>
          <cell r="M497">
            <v>0</v>
          </cell>
          <cell r="N497">
            <v>0</v>
          </cell>
          <cell r="O497">
            <v>25000</v>
          </cell>
        </row>
        <row r="498">
          <cell r="A498" t="str">
            <v>273</v>
          </cell>
          <cell r="B498" t="str">
            <v>CONCRETE COUNTRY NSW</v>
          </cell>
          <cell r="C498" t="str">
            <v>Kincumber Concrete</v>
          </cell>
          <cell r="D498" t="str">
            <v>5 Kerta Rd</v>
          </cell>
          <cell r="E498" t="str">
            <v>Kincumber</v>
          </cell>
          <cell r="F498" t="str">
            <v>2251</v>
          </cell>
          <cell r="G498" t="str">
            <v>New South Wales</v>
          </cell>
          <cell r="H498" t="str">
            <v>Australia</v>
          </cell>
          <cell r="I498" t="str">
            <v>Not Applicable</v>
          </cell>
          <cell r="J498">
            <v>25664</v>
          </cell>
          <cell r="K498">
            <v>17000</v>
          </cell>
          <cell r="L498">
            <v>0</v>
          </cell>
          <cell r="M498">
            <v>0</v>
          </cell>
          <cell r="N498">
            <v>2000</v>
          </cell>
          <cell r="O498">
            <v>44664</v>
          </cell>
        </row>
        <row r="499">
          <cell r="A499" t="str">
            <v>273</v>
          </cell>
          <cell r="B499" t="str">
            <v>CONCRETE COUNTRY NSW</v>
          </cell>
          <cell r="C499" t="str">
            <v>Kurri Kurri Concrete</v>
          </cell>
          <cell r="D499" t="str">
            <v>Industrial Avenue</v>
          </cell>
          <cell r="E499" t="str">
            <v>Kurri Kurri</v>
          </cell>
          <cell r="F499" t="str">
            <v>2327</v>
          </cell>
          <cell r="G499" t="str">
            <v>New South Wales</v>
          </cell>
          <cell r="H499" t="str">
            <v>Australia</v>
          </cell>
          <cell r="I499" t="str">
            <v>Not Applicable</v>
          </cell>
          <cell r="J499">
            <v>39043</v>
          </cell>
          <cell r="K499">
            <v>40000</v>
          </cell>
          <cell r="L499">
            <v>644000</v>
          </cell>
          <cell r="M499">
            <v>0</v>
          </cell>
          <cell r="N499">
            <v>2000</v>
          </cell>
          <cell r="O499">
            <v>725043</v>
          </cell>
        </row>
        <row r="500">
          <cell r="A500" t="str">
            <v>273</v>
          </cell>
          <cell r="B500" t="str">
            <v>CONCRETE COUNTRY NSW</v>
          </cell>
          <cell r="C500" t="str">
            <v>Laurieton</v>
          </cell>
          <cell r="D500" t="str">
            <v>Arnott Street</v>
          </cell>
          <cell r="E500" t="str">
            <v>Laurieton</v>
          </cell>
          <cell r="F500" t="str">
            <v>2443</v>
          </cell>
          <cell r="G500" t="str">
            <v>New South Wales</v>
          </cell>
          <cell r="H500" t="str">
            <v>Australia</v>
          </cell>
          <cell r="I500" t="str">
            <v>Not Applicable</v>
          </cell>
          <cell r="J500">
            <v>24540</v>
          </cell>
          <cell r="K500">
            <v>114673</v>
          </cell>
          <cell r="L500">
            <v>573000</v>
          </cell>
          <cell r="M500">
            <v>125000</v>
          </cell>
          <cell r="N500">
            <v>7000</v>
          </cell>
          <cell r="O500">
            <v>844213</v>
          </cell>
        </row>
        <row r="501">
          <cell r="A501" t="str">
            <v>273</v>
          </cell>
          <cell r="B501" t="str">
            <v>CONCRETE COUNTRY NSW</v>
          </cell>
          <cell r="C501" t="str">
            <v>Lismore Concrete</v>
          </cell>
          <cell r="D501" t="str">
            <v>Cnr McCauley &amp; Lake Streets</v>
          </cell>
          <cell r="E501" t="str">
            <v>Lismore</v>
          </cell>
          <cell r="F501" t="str">
            <v>2480</v>
          </cell>
          <cell r="G501" t="str">
            <v>New South Wales</v>
          </cell>
          <cell r="H501" t="str">
            <v>Australia</v>
          </cell>
          <cell r="I501" t="str">
            <v>Not Applicable</v>
          </cell>
          <cell r="J501">
            <v>16618</v>
          </cell>
          <cell r="K501">
            <v>8000</v>
          </cell>
          <cell r="L501">
            <v>408000</v>
          </cell>
          <cell r="M501">
            <v>123000</v>
          </cell>
          <cell r="N501">
            <v>2000</v>
          </cell>
          <cell r="O501">
            <v>557618</v>
          </cell>
        </row>
        <row r="502">
          <cell r="A502" t="str">
            <v>273</v>
          </cell>
          <cell r="B502" t="str">
            <v>CONCRETE COUNTRY NSW</v>
          </cell>
          <cell r="C502" t="str">
            <v>Maclean Concrete Plant</v>
          </cell>
          <cell r="D502" t="str">
            <v>Yamba Road</v>
          </cell>
          <cell r="E502" t="str">
            <v>Maclean</v>
          </cell>
          <cell r="F502" t="str">
            <v>2463</v>
          </cell>
          <cell r="G502" t="str">
            <v>New South Wales</v>
          </cell>
          <cell r="H502" t="str">
            <v>Australia</v>
          </cell>
          <cell r="I502" t="str">
            <v>Not Applicable</v>
          </cell>
          <cell r="J502">
            <v>22782</v>
          </cell>
          <cell r="K502">
            <v>26390</v>
          </cell>
          <cell r="L502">
            <v>515000</v>
          </cell>
          <cell r="M502">
            <v>192000</v>
          </cell>
          <cell r="N502">
            <v>4000</v>
          </cell>
          <cell r="O502">
            <v>760172</v>
          </cell>
        </row>
        <row r="503">
          <cell r="A503" t="str">
            <v>273</v>
          </cell>
          <cell r="B503" t="str">
            <v>CONCRETE COUNTRY NSW</v>
          </cell>
          <cell r="C503" t="str">
            <v>Maitland Concrete</v>
          </cell>
          <cell r="D503" t="str">
            <v>Aberglassyn Road</v>
          </cell>
          <cell r="E503" t="str">
            <v>Maitland</v>
          </cell>
          <cell r="F503" t="str">
            <v>2320</v>
          </cell>
          <cell r="G503" t="str">
            <v>New South Wales</v>
          </cell>
          <cell r="H503" t="str">
            <v>Australia</v>
          </cell>
          <cell r="I503" t="str">
            <v>Not Applicable</v>
          </cell>
          <cell r="J503">
            <v>25743</v>
          </cell>
          <cell r="K503">
            <v>20000</v>
          </cell>
          <cell r="L503">
            <v>486000</v>
          </cell>
          <cell r="M503">
            <v>150000</v>
          </cell>
          <cell r="N503">
            <v>2000</v>
          </cell>
          <cell r="O503">
            <v>683743</v>
          </cell>
        </row>
        <row r="504">
          <cell r="A504" t="str">
            <v>273</v>
          </cell>
          <cell r="B504" t="str">
            <v>CONCRETE COUNTRY NSW</v>
          </cell>
          <cell r="C504" t="str">
            <v>Maldon Concrete</v>
          </cell>
          <cell r="D504" t="str">
            <v>Wilton Road</v>
          </cell>
          <cell r="E504" t="str">
            <v>Maldon</v>
          </cell>
          <cell r="F504" t="str">
            <v>2571</v>
          </cell>
          <cell r="G504" t="str">
            <v>New South Wales</v>
          </cell>
          <cell r="H504" t="str">
            <v>Australia</v>
          </cell>
          <cell r="I504" t="str">
            <v>Not Applicable</v>
          </cell>
          <cell r="J504">
            <v>27992</v>
          </cell>
          <cell r="K504">
            <v>35000</v>
          </cell>
          <cell r="L504">
            <v>462000</v>
          </cell>
          <cell r="M504">
            <v>157000</v>
          </cell>
          <cell r="N504">
            <v>2000</v>
          </cell>
          <cell r="O504">
            <v>683992</v>
          </cell>
        </row>
        <row r="505">
          <cell r="A505" t="str">
            <v>273</v>
          </cell>
          <cell r="B505" t="str">
            <v>CONCRETE COUNTRY NSW</v>
          </cell>
          <cell r="C505" t="str">
            <v>Marulan Concrete - CMG Country NSW</v>
          </cell>
          <cell r="D505" t="str">
            <v>LOT 13 Portland Avenue</v>
          </cell>
          <cell r="E505" t="str">
            <v>Marulan</v>
          </cell>
          <cell r="F505" t="str">
            <v>2579</v>
          </cell>
          <cell r="G505" t="str">
            <v>New South Wales</v>
          </cell>
          <cell r="H505" t="str">
            <v>Australia</v>
          </cell>
          <cell r="I505" t="str">
            <v>Not Applicable</v>
          </cell>
          <cell r="J505">
            <v>5055</v>
          </cell>
          <cell r="K505">
            <v>10000</v>
          </cell>
          <cell r="L505">
            <v>35000</v>
          </cell>
          <cell r="M505">
            <v>164000</v>
          </cell>
          <cell r="N505">
            <v>2000</v>
          </cell>
          <cell r="O505">
            <v>216055</v>
          </cell>
        </row>
        <row r="506">
          <cell r="A506" t="str">
            <v>273</v>
          </cell>
          <cell r="B506" t="str">
            <v>CONCRETE COUNTRY NSW</v>
          </cell>
          <cell r="C506" t="str">
            <v>Maryvale Concrete</v>
          </cell>
          <cell r="D506" t="str">
            <v>Mitchell Highway</v>
          </cell>
          <cell r="E506" t="str">
            <v>Maryvale</v>
          </cell>
          <cell r="F506" t="str">
            <v>2820</v>
          </cell>
          <cell r="G506" t="str">
            <v>New South Wales</v>
          </cell>
          <cell r="H506" t="str">
            <v>Australia</v>
          </cell>
          <cell r="I506" t="str">
            <v>Not Applicable</v>
          </cell>
          <cell r="J506">
            <v>5470</v>
          </cell>
          <cell r="K506">
            <v>15000</v>
          </cell>
          <cell r="L506">
            <v>339000</v>
          </cell>
          <cell r="M506">
            <v>7000</v>
          </cell>
          <cell r="N506">
            <v>2000</v>
          </cell>
          <cell r="O506">
            <v>368470</v>
          </cell>
        </row>
        <row r="507">
          <cell r="A507" t="str">
            <v>273</v>
          </cell>
          <cell r="B507" t="str">
            <v>CONCRETE COUNTRY NSW</v>
          </cell>
          <cell r="C507" t="str">
            <v>Milton Concrete</v>
          </cell>
          <cell r="D507" t="str">
            <v>Wilford Lane</v>
          </cell>
          <cell r="E507" t="str">
            <v>Milton</v>
          </cell>
          <cell r="F507" t="str">
            <v>2538</v>
          </cell>
          <cell r="G507" t="str">
            <v>New South Wales</v>
          </cell>
          <cell r="H507" t="str">
            <v>Australia</v>
          </cell>
          <cell r="I507" t="str">
            <v>Not Applicable</v>
          </cell>
          <cell r="J507">
            <v>14174</v>
          </cell>
          <cell r="K507">
            <v>44909</v>
          </cell>
          <cell r="L507">
            <v>425000</v>
          </cell>
          <cell r="M507">
            <v>70000</v>
          </cell>
          <cell r="N507">
            <v>2000</v>
          </cell>
          <cell r="O507">
            <v>556083</v>
          </cell>
        </row>
        <row r="508">
          <cell r="A508" t="str">
            <v>273</v>
          </cell>
          <cell r="B508" t="str">
            <v>CONCRETE COUNTRY NSW</v>
          </cell>
          <cell r="C508" t="str">
            <v>Mitchell Concrete Plant</v>
          </cell>
          <cell r="D508" t="str">
            <v>Hoskins Street</v>
          </cell>
          <cell r="E508" t="str">
            <v>Mitchell</v>
          </cell>
          <cell r="F508" t="str">
            <v>2711</v>
          </cell>
          <cell r="G508" t="str">
            <v>Australian Capital Territory</v>
          </cell>
          <cell r="H508" t="str">
            <v>Australia</v>
          </cell>
          <cell r="I508" t="str">
            <v>Not Applicable</v>
          </cell>
          <cell r="J508">
            <v>27075</v>
          </cell>
          <cell r="K508">
            <v>20000</v>
          </cell>
          <cell r="L508">
            <v>1543000</v>
          </cell>
          <cell r="M508">
            <v>106000</v>
          </cell>
          <cell r="N508">
            <v>2000</v>
          </cell>
          <cell r="O508">
            <v>1698075</v>
          </cell>
        </row>
        <row r="509">
          <cell r="A509" t="str">
            <v>273</v>
          </cell>
          <cell r="B509" t="str">
            <v>CONCRETE COUNTRY NSW</v>
          </cell>
          <cell r="C509" t="str">
            <v>Mittagong Concrete</v>
          </cell>
          <cell r="D509" t="str">
            <v>Lot 11 Gantry Place</v>
          </cell>
          <cell r="E509" t="str">
            <v>Braemar</v>
          </cell>
          <cell r="F509" t="str">
            <v>2575</v>
          </cell>
          <cell r="G509" t="str">
            <v>New South Wales</v>
          </cell>
          <cell r="H509" t="str">
            <v>Australia</v>
          </cell>
          <cell r="I509" t="str">
            <v>Not Applicable</v>
          </cell>
          <cell r="J509">
            <v>31858</v>
          </cell>
          <cell r="K509">
            <v>48970</v>
          </cell>
          <cell r="L509">
            <v>1050000</v>
          </cell>
          <cell r="M509">
            <v>124000</v>
          </cell>
          <cell r="N509">
            <v>2000</v>
          </cell>
          <cell r="O509">
            <v>1256828</v>
          </cell>
        </row>
        <row r="510">
          <cell r="A510" t="str">
            <v>273</v>
          </cell>
          <cell r="B510" t="str">
            <v>CONCRETE COUNTRY NSW</v>
          </cell>
          <cell r="C510" t="str">
            <v>Mobile Concrete Projects - CMG Country Concrete NSW</v>
          </cell>
          <cell r="D510" t="str">
            <v>Greystanes Road</v>
          </cell>
          <cell r="E510" t="str">
            <v>South Wentworthville</v>
          </cell>
          <cell r="F510" t="str">
            <v>2142</v>
          </cell>
          <cell r="G510" t="str">
            <v>New South Wales</v>
          </cell>
          <cell r="H510" t="str">
            <v>Australia</v>
          </cell>
          <cell r="I510" t="str">
            <v>Not Applicable</v>
          </cell>
          <cell r="J510">
            <v>0</v>
          </cell>
          <cell r="K510">
            <v>0</v>
          </cell>
          <cell r="L510">
            <v>500000</v>
          </cell>
          <cell r="M510">
            <v>0</v>
          </cell>
          <cell r="N510">
            <v>0</v>
          </cell>
          <cell r="O510">
            <v>500000</v>
          </cell>
        </row>
        <row r="511">
          <cell r="A511" t="str">
            <v>273</v>
          </cell>
          <cell r="B511" t="str">
            <v>CONCRETE COUNTRY NSW</v>
          </cell>
          <cell r="C511" t="str">
            <v>Moruya Concrete</v>
          </cell>
          <cell r="D511" t="str">
            <v>Princess Highway</v>
          </cell>
          <cell r="E511" t="str">
            <v>Moruya</v>
          </cell>
          <cell r="F511" t="str">
            <v>2537</v>
          </cell>
          <cell r="G511" t="str">
            <v>New South Wales</v>
          </cell>
          <cell r="H511" t="str">
            <v>Australia</v>
          </cell>
          <cell r="I511" t="str">
            <v>Not Applicable</v>
          </cell>
          <cell r="J511">
            <v>18288</v>
          </cell>
          <cell r="K511">
            <v>42500</v>
          </cell>
          <cell r="L511">
            <v>551000</v>
          </cell>
          <cell r="M511">
            <v>97000</v>
          </cell>
          <cell r="N511">
            <v>2000</v>
          </cell>
          <cell r="O511">
            <v>710788</v>
          </cell>
        </row>
        <row r="512">
          <cell r="A512" t="str">
            <v>273</v>
          </cell>
          <cell r="B512" t="str">
            <v>CONCRETE COUNTRY NSW</v>
          </cell>
          <cell r="C512" t="str">
            <v>Moss Vale Concrete</v>
          </cell>
          <cell r="D512" t="str">
            <v>Berrima Road</v>
          </cell>
          <cell r="E512" t="str">
            <v>Moss Vale</v>
          </cell>
          <cell r="F512" t="str">
            <v>2577</v>
          </cell>
          <cell r="G512" t="str">
            <v>New South Wales</v>
          </cell>
          <cell r="H512" t="str">
            <v>Australia</v>
          </cell>
          <cell r="I512" t="str">
            <v>Not Applicable</v>
          </cell>
          <cell r="J512">
            <v>23924</v>
          </cell>
          <cell r="K512">
            <v>18000</v>
          </cell>
          <cell r="L512">
            <v>484000</v>
          </cell>
          <cell r="M512">
            <v>140000</v>
          </cell>
          <cell r="N512">
            <v>2000</v>
          </cell>
          <cell r="O512">
            <v>667924</v>
          </cell>
        </row>
        <row r="513">
          <cell r="A513" t="str">
            <v>273</v>
          </cell>
          <cell r="B513" t="str">
            <v>CONCRETE COUNTRY NSW</v>
          </cell>
          <cell r="C513" t="str">
            <v>Mudgee Concrete</v>
          </cell>
          <cell r="D513" t="str">
            <v>Putta Bucca Road</v>
          </cell>
          <cell r="E513" t="str">
            <v>Mudgee</v>
          </cell>
          <cell r="F513" t="str">
            <v>2850</v>
          </cell>
          <cell r="G513" t="str">
            <v>New South Wales</v>
          </cell>
          <cell r="H513" t="str">
            <v>Australia</v>
          </cell>
          <cell r="I513" t="str">
            <v>Not Applicable</v>
          </cell>
          <cell r="J513">
            <v>39780</v>
          </cell>
          <cell r="K513">
            <v>95000</v>
          </cell>
          <cell r="L513">
            <v>487000</v>
          </cell>
          <cell r="M513">
            <v>317000</v>
          </cell>
          <cell r="N513">
            <v>118000</v>
          </cell>
          <cell r="O513">
            <v>1056780</v>
          </cell>
        </row>
        <row r="514">
          <cell r="A514" t="str">
            <v>273</v>
          </cell>
          <cell r="B514" t="str">
            <v>CONCRETE COUNTRY NSW</v>
          </cell>
          <cell r="C514" t="str">
            <v>Mugga Concrete</v>
          </cell>
          <cell r="D514" t="str">
            <v>Mugga Lane</v>
          </cell>
          <cell r="E514" t="str">
            <v>Woden</v>
          </cell>
          <cell r="F514" t="str">
            <v>2606</v>
          </cell>
          <cell r="G514" t="str">
            <v>Australian Capital Territory</v>
          </cell>
          <cell r="H514" t="str">
            <v>Australia</v>
          </cell>
          <cell r="I514" t="str">
            <v>Not Applicable</v>
          </cell>
          <cell r="J514">
            <v>62178</v>
          </cell>
          <cell r="K514">
            <v>95000</v>
          </cell>
          <cell r="L514">
            <v>1710000</v>
          </cell>
          <cell r="M514">
            <v>150000</v>
          </cell>
          <cell r="N514">
            <v>118000</v>
          </cell>
          <cell r="O514">
            <v>2135178</v>
          </cell>
        </row>
        <row r="515">
          <cell r="A515" t="str">
            <v>273</v>
          </cell>
          <cell r="B515" t="str">
            <v>CONCRETE COUNTRY NSW</v>
          </cell>
          <cell r="C515" t="str">
            <v>Mugga Lab</v>
          </cell>
          <cell r="D515" t="str">
            <v>Mugga 1 Quarry Mugga Lane</v>
          </cell>
          <cell r="E515" t="str">
            <v>Woden</v>
          </cell>
          <cell r="F515" t="str">
            <v>2606</v>
          </cell>
          <cell r="G515" t="str">
            <v>Australian Capital Territory</v>
          </cell>
          <cell r="H515" t="str">
            <v>Australia</v>
          </cell>
          <cell r="I515" t="str">
            <v>Not Applicable</v>
          </cell>
          <cell r="J515">
            <v>0</v>
          </cell>
          <cell r="K515">
            <v>170000</v>
          </cell>
          <cell r="L515">
            <v>153000</v>
          </cell>
          <cell r="M515">
            <v>0</v>
          </cell>
          <cell r="N515">
            <v>0</v>
          </cell>
          <cell r="O515">
            <v>323000</v>
          </cell>
        </row>
        <row r="516">
          <cell r="A516" t="str">
            <v>273</v>
          </cell>
          <cell r="B516" t="str">
            <v>CONCRETE COUNTRY NSW</v>
          </cell>
          <cell r="C516" t="str">
            <v>Muswellbrook Concrete</v>
          </cell>
          <cell r="D516" t="str">
            <v>Wallarah Street</v>
          </cell>
          <cell r="E516" t="str">
            <v>Muswellbrook</v>
          </cell>
          <cell r="F516" t="str">
            <v>2333</v>
          </cell>
          <cell r="G516" t="str">
            <v>New South Wales</v>
          </cell>
          <cell r="H516" t="str">
            <v>Australia</v>
          </cell>
          <cell r="I516" t="str">
            <v>Not Applicable</v>
          </cell>
          <cell r="J516">
            <v>26168</v>
          </cell>
          <cell r="K516">
            <v>30000</v>
          </cell>
          <cell r="L516">
            <v>1186000</v>
          </cell>
          <cell r="M516">
            <v>145000</v>
          </cell>
          <cell r="N516">
            <v>2000</v>
          </cell>
          <cell r="O516">
            <v>1389168</v>
          </cell>
        </row>
        <row r="517">
          <cell r="A517" t="str">
            <v>273</v>
          </cell>
          <cell r="B517" t="str">
            <v>CONCRETE COUNTRY NSW</v>
          </cell>
          <cell r="C517" t="str">
            <v>Narooma Concrete</v>
          </cell>
          <cell r="D517" t="str">
            <v>Glass Rocks Road</v>
          </cell>
          <cell r="E517" t="str">
            <v>Narooma</v>
          </cell>
          <cell r="F517" t="str">
            <v>2546</v>
          </cell>
          <cell r="G517" t="str">
            <v>New South Wales</v>
          </cell>
          <cell r="H517" t="str">
            <v>Australia</v>
          </cell>
          <cell r="I517" t="str">
            <v>Not Applicable</v>
          </cell>
          <cell r="J517">
            <v>10169</v>
          </cell>
          <cell r="K517">
            <v>27373</v>
          </cell>
          <cell r="L517">
            <v>262000</v>
          </cell>
          <cell r="M517">
            <v>145000</v>
          </cell>
          <cell r="N517">
            <v>2000</v>
          </cell>
          <cell r="O517">
            <v>446542</v>
          </cell>
        </row>
        <row r="518">
          <cell r="A518" t="str">
            <v>273</v>
          </cell>
          <cell r="B518" t="str">
            <v>CONCRETE COUNTRY NSW</v>
          </cell>
          <cell r="C518" t="str">
            <v>Narrabri Concrete</v>
          </cell>
          <cell r="D518" t="str">
            <v>Wee Waa Road</v>
          </cell>
          <cell r="E518" t="str">
            <v>Narrabri</v>
          </cell>
          <cell r="F518" t="str">
            <v>2390</v>
          </cell>
          <cell r="G518" t="str">
            <v>New South Wales</v>
          </cell>
          <cell r="H518" t="str">
            <v>Australia</v>
          </cell>
          <cell r="I518" t="str">
            <v>Not Applicable</v>
          </cell>
          <cell r="J518">
            <v>15474</v>
          </cell>
          <cell r="K518">
            <v>24000</v>
          </cell>
          <cell r="L518">
            <v>3000</v>
          </cell>
          <cell r="M518">
            <v>205000</v>
          </cell>
          <cell r="N518">
            <v>84000</v>
          </cell>
          <cell r="O518">
            <v>331474</v>
          </cell>
        </row>
        <row r="519">
          <cell r="A519" t="str">
            <v>273</v>
          </cell>
          <cell r="B519" t="str">
            <v>CONCRETE COUNTRY NSW</v>
          </cell>
          <cell r="C519" t="str">
            <v>Narromine Concrete</v>
          </cell>
          <cell r="D519" t="str">
            <v>Eumungerie Road</v>
          </cell>
          <cell r="E519" t="str">
            <v>Narromine</v>
          </cell>
          <cell r="F519" t="str">
            <v>2821</v>
          </cell>
          <cell r="G519" t="str">
            <v>New South Wales</v>
          </cell>
          <cell r="H519" t="str">
            <v>Australia</v>
          </cell>
          <cell r="I519" t="str">
            <v>Not Applicable</v>
          </cell>
          <cell r="J519">
            <v>9342</v>
          </cell>
          <cell r="K519">
            <v>25000</v>
          </cell>
          <cell r="L519">
            <v>287000</v>
          </cell>
          <cell r="M519">
            <v>114000</v>
          </cell>
          <cell r="N519">
            <v>150000</v>
          </cell>
          <cell r="O519">
            <v>585342</v>
          </cell>
        </row>
        <row r="520">
          <cell r="A520" t="str">
            <v>273</v>
          </cell>
          <cell r="B520" t="str">
            <v>CONCRETE COUNTRY NSW</v>
          </cell>
          <cell r="C520" t="str">
            <v>Nowra Concrete</v>
          </cell>
          <cell r="D520" t="str">
            <v>Yalwal Road</v>
          </cell>
          <cell r="E520" t="str">
            <v>Nowra</v>
          </cell>
          <cell r="F520" t="str">
            <v>2541</v>
          </cell>
          <cell r="G520" t="str">
            <v>New South Wales</v>
          </cell>
          <cell r="H520" t="str">
            <v>Australia</v>
          </cell>
          <cell r="I520" t="str">
            <v>Not Applicable</v>
          </cell>
          <cell r="J520">
            <v>30600</v>
          </cell>
          <cell r="K520">
            <v>41520</v>
          </cell>
          <cell r="L520">
            <v>759000</v>
          </cell>
          <cell r="M520">
            <v>0</v>
          </cell>
          <cell r="N520">
            <v>2000</v>
          </cell>
          <cell r="O520">
            <v>833120</v>
          </cell>
        </row>
        <row r="521">
          <cell r="A521" t="str">
            <v>273</v>
          </cell>
          <cell r="B521" t="str">
            <v>CONCRETE COUNTRY NSW</v>
          </cell>
          <cell r="C521" t="str">
            <v>Orange C - CMG Country Concrete NSW</v>
          </cell>
          <cell r="D521" t="str">
            <v>25  Scott Place Leswood Estate</v>
          </cell>
          <cell r="E521" t="str">
            <v>Orange</v>
          </cell>
          <cell r="F521" t="str">
            <v>2800</v>
          </cell>
          <cell r="G521" t="str">
            <v>New South Wales</v>
          </cell>
          <cell r="H521" t="str">
            <v>Australia</v>
          </cell>
          <cell r="I521" t="str">
            <v>Not Applicable</v>
          </cell>
          <cell r="J521">
            <v>21423</v>
          </cell>
          <cell r="K521">
            <v>30000</v>
          </cell>
          <cell r="L521">
            <v>551000</v>
          </cell>
          <cell r="M521">
            <v>319000</v>
          </cell>
          <cell r="N521">
            <v>150000</v>
          </cell>
          <cell r="O521">
            <v>1071423</v>
          </cell>
        </row>
        <row r="522">
          <cell r="A522" t="str">
            <v>273</v>
          </cell>
          <cell r="B522" t="str">
            <v>CONCRETE COUNTRY NSW</v>
          </cell>
          <cell r="C522" t="str">
            <v>Pambula Concrete</v>
          </cell>
          <cell r="D522" t="str">
            <v>Wyndham Road</v>
          </cell>
          <cell r="E522" t="str">
            <v>Pambula</v>
          </cell>
          <cell r="F522" t="str">
            <v>2549</v>
          </cell>
          <cell r="G522" t="str">
            <v>New South Wales</v>
          </cell>
          <cell r="H522" t="str">
            <v>Australia</v>
          </cell>
          <cell r="I522" t="str">
            <v>Not Applicable</v>
          </cell>
          <cell r="J522">
            <v>15149</v>
          </cell>
          <cell r="K522">
            <v>10000</v>
          </cell>
          <cell r="L522">
            <v>409000</v>
          </cell>
          <cell r="M522">
            <v>245000</v>
          </cell>
          <cell r="N522">
            <v>2000</v>
          </cell>
          <cell r="O522">
            <v>681149</v>
          </cell>
        </row>
        <row r="523">
          <cell r="A523" t="str">
            <v>273</v>
          </cell>
          <cell r="B523" t="str">
            <v>CONCRETE COUNTRY NSW</v>
          </cell>
          <cell r="C523" t="str">
            <v>Port Kembla Concrete</v>
          </cell>
          <cell r="D523" t="str">
            <v>Five Islands Road</v>
          </cell>
          <cell r="E523" t="str">
            <v>Port Kembla</v>
          </cell>
          <cell r="F523" t="str">
            <v>2502</v>
          </cell>
          <cell r="G523" t="str">
            <v>New South Wales</v>
          </cell>
          <cell r="H523" t="str">
            <v>Australia</v>
          </cell>
          <cell r="I523" t="str">
            <v>Not Applicable</v>
          </cell>
          <cell r="J523">
            <v>52083</v>
          </cell>
          <cell r="K523">
            <v>15087</v>
          </cell>
          <cell r="L523">
            <v>2724000</v>
          </cell>
          <cell r="M523">
            <v>150000</v>
          </cell>
          <cell r="N523">
            <v>2000</v>
          </cell>
          <cell r="O523">
            <v>2943170</v>
          </cell>
        </row>
        <row r="524">
          <cell r="A524" t="str">
            <v>273</v>
          </cell>
          <cell r="B524" t="str">
            <v>CONCRETE COUNTRY NSW</v>
          </cell>
          <cell r="C524" t="str">
            <v>Port Kembla Laboratory</v>
          </cell>
          <cell r="D524" t="str">
            <v>Five Islands Road</v>
          </cell>
          <cell r="E524" t="str">
            <v>Port Kembla</v>
          </cell>
          <cell r="F524" t="str">
            <v>2501</v>
          </cell>
          <cell r="G524" t="str">
            <v>New South Wales</v>
          </cell>
          <cell r="H524" t="str">
            <v>Australia</v>
          </cell>
          <cell r="I524" t="str">
            <v>Not Applicable</v>
          </cell>
          <cell r="J524">
            <v>0</v>
          </cell>
          <cell r="K524">
            <v>63792</v>
          </cell>
          <cell r="L524">
            <v>106000</v>
          </cell>
          <cell r="M524">
            <v>0</v>
          </cell>
          <cell r="N524">
            <v>2000</v>
          </cell>
          <cell r="O524">
            <v>171792</v>
          </cell>
        </row>
        <row r="525">
          <cell r="A525" t="str">
            <v>273</v>
          </cell>
          <cell r="B525" t="str">
            <v>CONCRETE COUNTRY NSW</v>
          </cell>
          <cell r="C525" t="str">
            <v>Port Macquarie Concrete</v>
          </cell>
          <cell r="D525" t="str">
            <v>Denham Street</v>
          </cell>
          <cell r="E525" t="str">
            <v>Port Macquarie, nsw</v>
          </cell>
          <cell r="F525" t="str">
            <v>2444</v>
          </cell>
          <cell r="G525" t="str">
            <v>New South Wales</v>
          </cell>
          <cell r="H525" t="str">
            <v>Australia</v>
          </cell>
          <cell r="I525" t="str">
            <v>Not Applicable</v>
          </cell>
          <cell r="J525">
            <v>46517</v>
          </cell>
          <cell r="K525">
            <v>120000</v>
          </cell>
          <cell r="L525">
            <v>814000</v>
          </cell>
          <cell r="M525">
            <v>410000</v>
          </cell>
          <cell r="N525">
            <v>4000</v>
          </cell>
          <cell r="O525">
            <v>1394517</v>
          </cell>
        </row>
        <row r="526">
          <cell r="A526" t="str">
            <v>273</v>
          </cell>
          <cell r="B526" t="str">
            <v>CONCRETE COUNTRY NSW</v>
          </cell>
          <cell r="C526" t="str">
            <v>Rathmines Concrete - CMG Country Concrete NSW</v>
          </cell>
          <cell r="D526" t="str">
            <v>Daranbal Close</v>
          </cell>
          <cell r="E526" t="str">
            <v>Rathmines</v>
          </cell>
          <cell r="F526" t="str">
            <v>2283</v>
          </cell>
          <cell r="G526" t="str">
            <v>New South Wales</v>
          </cell>
          <cell r="H526" t="str">
            <v>Australia</v>
          </cell>
          <cell r="I526" t="str">
            <v>Not Applicable</v>
          </cell>
          <cell r="J526">
            <v>11234</v>
          </cell>
          <cell r="K526">
            <v>16330</v>
          </cell>
          <cell r="L526">
            <v>413000</v>
          </cell>
          <cell r="M526">
            <v>87000</v>
          </cell>
          <cell r="N526">
            <v>2000</v>
          </cell>
          <cell r="O526">
            <v>529564</v>
          </cell>
        </row>
        <row r="527">
          <cell r="A527" t="str">
            <v>273</v>
          </cell>
          <cell r="B527" t="str">
            <v>CONCRETE COUNTRY NSW</v>
          </cell>
          <cell r="C527" t="str">
            <v>Salamander Bay Concrete Plant</v>
          </cell>
          <cell r="D527" t="str">
            <v>George Road</v>
          </cell>
          <cell r="E527" t="str">
            <v>Salamander Bay</v>
          </cell>
          <cell r="F527" t="str">
            <v>2301</v>
          </cell>
          <cell r="G527" t="str">
            <v>New South Wales</v>
          </cell>
          <cell r="H527" t="str">
            <v>Australia</v>
          </cell>
          <cell r="I527" t="str">
            <v>Not Applicable</v>
          </cell>
          <cell r="J527">
            <v>16852</v>
          </cell>
          <cell r="K527">
            <v>75000</v>
          </cell>
          <cell r="L527">
            <v>473000</v>
          </cell>
          <cell r="M527">
            <v>141000</v>
          </cell>
          <cell r="N527">
            <v>2000</v>
          </cell>
          <cell r="O527">
            <v>707852</v>
          </cell>
        </row>
        <row r="528">
          <cell r="A528" t="str">
            <v>273</v>
          </cell>
          <cell r="B528" t="str">
            <v>CONCRETE COUNTRY NSW</v>
          </cell>
          <cell r="C528" t="str">
            <v>Scone Concrete</v>
          </cell>
          <cell r="D528" t="str">
            <v>18 McLaughlin Street</v>
          </cell>
          <cell r="E528" t="str">
            <v>Scone</v>
          </cell>
          <cell r="F528" t="str">
            <v>2337</v>
          </cell>
          <cell r="G528" t="str">
            <v>New South Wales</v>
          </cell>
          <cell r="H528" t="str">
            <v>Australia</v>
          </cell>
          <cell r="I528" t="str">
            <v>Not Applicable</v>
          </cell>
          <cell r="J528">
            <v>17986</v>
          </cell>
          <cell r="K528">
            <v>30000</v>
          </cell>
          <cell r="L528">
            <v>337000</v>
          </cell>
          <cell r="M528">
            <v>307000</v>
          </cell>
          <cell r="N528">
            <v>2000</v>
          </cell>
          <cell r="O528">
            <v>693986</v>
          </cell>
        </row>
        <row r="529">
          <cell r="A529" t="str">
            <v>273</v>
          </cell>
          <cell r="B529" t="str">
            <v>CONCRETE COUNTRY NSW</v>
          </cell>
          <cell r="C529" t="str">
            <v>Seaham Concrete - CMG Country NSW</v>
          </cell>
          <cell r="D529" t="str">
            <v>Italia Road</v>
          </cell>
          <cell r="E529" t="str">
            <v>Seaham</v>
          </cell>
          <cell r="F529" t="str">
            <v>2324</v>
          </cell>
          <cell r="G529" t="str">
            <v>New South Wales</v>
          </cell>
          <cell r="H529" t="str">
            <v>Australia</v>
          </cell>
          <cell r="I529" t="str">
            <v>Not Applicable</v>
          </cell>
          <cell r="J529">
            <v>20419</v>
          </cell>
          <cell r="K529">
            <v>6000</v>
          </cell>
          <cell r="L529">
            <v>201000</v>
          </cell>
          <cell r="M529">
            <v>267000</v>
          </cell>
          <cell r="N529">
            <v>2000</v>
          </cell>
          <cell r="O529">
            <v>496419</v>
          </cell>
        </row>
        <row r="530">
          <cell r="A530" t="str">
            <v>273</v>
          </cell>
          <cell r="B530" t="str">
            <v>CONCRETE COUNTRY NSW</v>
          </cell>
          <cell r="C530" t="str">
            <v>Seaham Laboratory</v>
          </cell>
          <cell r="D530" t="str">
            <v>Italia Road</v>
          </cell>
          <cell r="E530" t="str">
            <v>Raymond Terrace</v>
          </cell>
          <cell r="F530" t="str">
            <v>2324</v>
          </cell>
          <cell r="G530" t="str">
            <v>New South Wales</v>
          </cell>
          <cell r="H530" t="str">
            <v>Australia</v>
          </cell>
          <cell r="I530" t="str">
            <v>Not Applicable</v>
          </cell>
          <cell r="J530">
            <v>0</v>
          </cell>
          <cell r="K530">
            <v>12000</v>
          </cell>
          <cell r="L530">
            <v>105000</v>
          </cell>
          <cell r="M530">
            <v>0</v>
          </cell>
          <cell r="N530">
            <v>0</v>
          </cell>
          <cell r="O530">
            <v>117000</v>
          </cell>
        </row>
        <row r="531">
          <cell r="A531" t="str">
            <v>273</v>
          </cell>
          <cell r="B531" t="str">
            <v>CONCRETE COUNTRY NSW</v>
          </cell>
          <cell r="C531" t="str">
            <v>Singleton Concrete</v>
          </cell>
          <cell r="D531" t="str">
            <v>Darlington Road</v>
          </cell>
          <cell r="E531" t="str">
            <v>Singleton</v>
          </cell>
          <cell r="F531" t="str">
            <v>2330</v>
          </cell>
          <cell r="G531" t="str">
            <v>New South Wales</v>
          </cell>
          <cell r="H531" t="str">
            <v>Australia</v>
          </cell>
          <cell r="I531" t="str">
            <v>Not Applicable</v>
          </cell>
          <cell r="J531">
            <v>34182</v>
          </cell>
          <cell r="K531">
            <v>8415</v>
          </cell>
          <cell r="L531">
            <v>611000</v>
          </cell>
          <cell r="M531">
            <v>0</v>
          </cell>
          <cell r="N531">
            <v>2000</v>
          </cell>
          <cell r="O531">
            <v>655597</v>
          </cell>
        </row>
        <row r="532">
          <cell r="A532" t="str">
            <v>273</v>
          </cell>
          <cell r="B532" t="str">
            <v>CONCRETE COUNTRY NSW</v>
          </cell>
          <cell r="C532" t="str">
            <v>Sussex Inlet Concrete</v>
          </cell>
          <cell r="D532" t="str">
            <v>Lot 3  Flood Avenue</v>
          </cell>
          <cell r="E532" t="str">
            <v>Sussex Inlet</v>
          </cell>
          <cell r="F532" t="str">
            <v>2540</v>
          </cell>
          <cell r="G532" t="str">
            <v>New South Wales</v>
          </cell>
          <cell r="H532" t="str">
            <v>Australia</v>
          </cell>
          <cell r="I532" t="str">
            <v>Not Applicable</v>
          </cell>
          <cell r="J532">
            <v>10520</v>
          </cell>
          <cell r="K532">
            <v>13644</v>
          </cell>
          <cell r="L532">
            <v>367000</v>
          </cell>
          <cell r="M532">
            <v>106000</v>
          </cell>
          <cell r="N532">
            <v>2000</v>
          </cell>
          <cell r="O532">
            <v>499164</v>
          </cell>
        </row>
        <row r="533">
          <cell r="A533" t="str">
            <v>273</v>
          </cell>
          <cell r="B533" t="str">
            <v>CONCRETE COUNTRY NSW</v>
          </cell>
          <cell r="C533" t="str">
            <v>Tamworth Concrete</v>
          </cell>
          <cell r="D533" t="str">
            <v>Crawford Street</v>
          </cell>
          <cell r="E533" t="str">
            <v>Tamworth</v>
          </cell>
          <cell r="F533" t="str">
            <v>2340</v>
          </cell>
          <cell r="G533" t="str">
            <v>New South Wales</v>
          </cell>
          <cell r="H533" t="str">
            <v>Australia</v>
          </cell>
          <cell r="I533" t="str">
            <v>Not Applicable</v>
          </cell>
          <cell r="J533">
            <v>28990</v>
          </cell>
          <cell r="K533">
            <v>38476</v>
          </cell>
          <cell r="L533">
            <v>781000</v>
          </cell>
          <cell r="M533">
            <v>270000</v>
          </cell>
          <cell r="N533">
            <v>60000</v>
          </cell>
          <cell r="O533">
            <v>1178466</v>
          </cell>
        </row>
        <row r="534">
          <cell r="A534" t="str">
            <v>273</v>
          </cell>
          <cell r="B534" t="str">
            <v>CONCRETE COUNTRY NSW</v>
          </cell>
          <cell r="C534" t="str">
            <v>Tamworth Laboratory</v>
          </cell>
          <cell r="D534" t="str">
            <v>Off New England Highway</v>
          </cell>
          <cell r="E534" t="str">
            <v>Tamworth</v>
          </cell>
          <cell r="F534" t="str">
            <v>2340</v>
          </cell>
          <cell r="G534" t="str">
            <v>New South Wales</v>
          </cell>
          <cell r="H534" t="str">
            <v>Australia</v>
          </cell>
          <cell r="I534" t="str">
            <v>Not Applicable</v>
          </cell>
          <cell r="J534">
            <v>0</v>
          </cell>
          <cell r="K534">
            <v>15000</v>
          </cell>
          <cell r="L534">
            <v>14000</v>
          </cell>
          <cell r="M534">
            <v>0</v>
          </cell>
          <cell r="N534">
            <v>0</v>
          </cell>
          <cell r="O534">
            <v>29000</v>
          </cell>
        </row>
        <row r="535">
          <cell r="A535" t="str">
            <v>273</v>
          </cell>
          <cell r="B535" t="str">
            <v>CONCRETE COUNTRY NSW</v>
          </cell>
          <cell r="C535" t="str">
            <v>Taree - CMG Country Concrete NSW</v>
          </cell>
          <cell r="D535" t="str">
            <v>Wingham Road</v>
          </cell>
          <cell r="E535" t="str">
            <v>Taree</v>
          </cell>
          <cell r="F535" t="str">
            <v>2430</v>
          </cell>
          <cell r="G535" t="str">
            <v>New South Wales</v>
          </cell>
          <cell r="H535" t="str">
            <v>Australia</v>
          </cell>
          <cell r="I535" t="str">
            <v>Not Applicable</v>
          </cell>
          <cell r="J535">
            <v>27932</v>
          </cell>
          <cell r="K535">
            <v>30000</v>
          </cell>
          <cell r="L535">
            <v>356000</v>
          </cell>
          <cell r="M535">
            <v>142000</v>
          </cell>
          <cell r="N535">
            <v>4000</v>
          </cell>
          <cell r="O535">
            <v>559932</v>
          </cell>
        </row>
        <row r="536">
          <cell r="A536" t="str">
            <v>273</v>
          </cell>
          <cell r="B536" t="str">
            <v>CONCRETE COUNTRY NSW</v>
          </cell>
          <cell r="C536" t="str">
            <v>Teven Laboratory</v>
          </cell>
          <cell r="D536" t="str">
            <v>North Teven Road</v>
          </cell>
          <cell r="E536" t="str">
            <v>Teven</v>
          </cell>
          <cell r="F536" t="str">
            <v>2480</v>
          </cell>
          <cell r="G536" t="str">
            <v>New South Wales</v>
          </cell>
          <cell r="H536" t="str">
            <v>Australia</v>
          </cell>
          <cell r="I536" t="str">
            <v>Not Applicable</v>
          </cell>
          <cell r="J536">
            <v>0</v>
          </cell>
          <cell r="K536">
            <v>12000</v>
          </cell>
          <cell r="L536">
            <v>52000</v>
          </cell>
          <cell r="M536">
            <v>0</v>
          </cell>
          <cell r="N536">
            <v>0</v>
          </cell>
          <cell r="O536">
            <v>64000</v>
          </cell>
        </row>
        <row r="537">
          <cell r="A537" t="str">
            <v>273</v>
          </cell>
          <cell r="B537" t="str">
            <v>CONCRETE COUNTRY NSW</v>
          </cell>
          <cell r="C537" t="str">
            <v>Tuncurry Concrete</v>
          </cell>
          <cell r="D537" t="str">
            <v>Grey Gum Street</v>
          </cell>
          <cell r="E537" t="str">
            <v>Tuncurry</v>
          </cell>
          <cell r="F537" t="str">
            <v>2428</v>
          </cell>
          <cell r="G537" t="str">
            <v>New South Wales</v>
          </cell>
          <cell r="H537" t="str">
            <v>Australia</v>
          </cell>
          <cell r="I537" t="str">
            <v>Not Applicable</v>
          </cell>
          <cell r="J537">
            <v>27703</v>
          </cell>
          <cell r="K537">
            <v>53073</v>
          </cell>
          <cell r="L537">
            <v>262000</v>
          </cell>
          <cell r="M537">
            <v>93000</v>
          </cell>
          <cell r="N537">
            <v>6000</v>
          </cell>
          <cell r="O537">
            <v>441776</v>
          </cell>
        </row>
        <row r="538">
          <cell r="A538" t="str">
            <v>273</v>
          </cell>
          <cell r="B538" t="str">
            <v>CONCRETE COUNTRY NSW</v>
          </cell>
          <cell r="C538" t="str">
            <v>Wagga Concrete</v>
          </cell>
          <cell r="D538" t="str">
            <v>Kooringal Road</v>
          </cell>
          <cell r="E538" t="str">
            <v>Wagga Wagga</v>
          </cell>
          <cell r="F538" t="str">
            <v>2650</v>
          </cell>
          <cell r="G538" t="str">
            <v>New South Wales</v>
          </cell>
          <cell r="H538" t="str">
            <v>Australia</v>
          </cell>
          <cell r="I538" t="str">
            <v>Not Applicable</v>
          </cell>
          <cell r="J538">
            <v>30424</v>
          </cell>
          <cell r="K538">
            <v>35000</v>
          </cell>
          <cell r="L538">
            <v>694000</v>
          </cell>
          <cell r="M538">
            <v>137000</v>
          </cell>
          <cell r="N538">
            <v>2000</v>
          </cell>
          <cell r="O538">
            <v>898424</v>
          </cell>
        </row>
        <row r="539">
          <cell r="A539" t="str">
            <v>273</v>
          </cell>
          <cell r="B539" t="str">
            <v>CONCRETE COUNTRY NSW</v>
          </cell>
          <cell r="C539" t="str">
            <v>Warren Concrete - CMG Country Concrete NSW</v>
          </cell>
          <cell r="D539" t="str">
            <v>Nevertire Road</v>
          </cell>
          <cell r="E539" t="str">
            <v>Warren</v>
          </cell>
          <cell r="F539" t="str">
            <v>2824</v>
          </cell>
          <cell r="G539" t="str">
            <v>New South Wales</v>
          </cell>
          <cell r="H539" t="str">
            <v>Australia</v>
          </cell>
          <cell r="I539" t="str">
            <v>Not Applicable</v>
          </cell>
          <cell r="J539">
            <v>11501</v>
          </cell>
          <cell r="K539">
            <v>2000</v>
          </cell>
          <cell r="L539">
            <v>256000</v>
          </cell>
          <cell r="M539">
            <v>151000</v>
          </cell>
          <cell r="N539">
            <v>30000</v>
          </cell>
          <cell r="O539">
            <v>450501</v>
          </cell>
        </row>
        <row r="540">
          <cell r="A540" t="str">
            <v>273</v>
          </cell>
          <cell r="B540" t="str">
            <v>CONCRETE COUNTRY NSW</v>
          </cell>
          <cell r="C540" t="str">
            <v>Wauchope Concrete</v>
          </cell>
          <cell r="D540" t="str">
            <v>Bago Road</v>
          </cell>
          <cell r="E540" t="str">
            <v>Wauchope</v>
          </cell>
          <cell r="F540" t="str">
            <v>2446</v>
          </cell>
          <cell r="G540" t="str">
            <v>New South Wales</v>
          </cell>
          <cell r="H540" t="str">
            <v>Australia</v>
          </cell>
          <cell r="I540" t="str">
            <v>Not Applicable</v>
          </cell>
          <cell r="J540">
            <v>16078</v>
          </cell>
          <cell r="K540">
            <v>90000</v>
          </cell>
          <cell r="L540">
            <v>457000</v>
          </cell>
          <cell r="M540">
            <v>125000</v>
          </cell>
          <cell r="N540">
            <v>10000</v>
          </cell>
          <cell r="O540">
            <v>698078</v>
          </cell>
        </row>
        <row r="541">
          <cell r="A541" t="str">
            <v>273</v>
          </cell>
          <cell r="B541" t="str">
            <v>CONCRETE COUNTRY NSW</v>
          </cell>
          <cell r="C541" t="str">
            <v>West Gosford Concrete</v>
          </cell>
          <cell r="D541" t="str">
            <v>Grieve Close</v>
          </cell>
          <cell r="E541" t="str">
            <v>West Gosford</v>
          </cell>
          <cell r="F541" t="str">
            <v>2250</v>
          </cell>
          <cell r="G541" t="str">
            <v>New South Wales</v>
          </cell>
          <cell r="H541" t="str">
            <v>Australia</v>
          </cell>
          <cell r="I541" t="str">
            <v>Not Applicable</v>
          </cell>
          <cell r="J541">
            <v>25860</v>
          </cell>
          <cell r="K541">
            <v>83000</v>
          </cell>
          <cell r="L541">
            <v>1253000</v>
          </cell>
          <cell r="M541">
            <v>139000</v>
          </cell>
          <cell r="N541">
            <v>2000</v>
          </cell>
          <cell r="O541">
            <v>1502860</v>
          </cell>
        </row>
        <row r="542">
          <cell r="A542" t="str">
            <v>274</v>
          </cell>
          <cell r="B542" t="str">
            <v>COUNTRY QUARRIES  NSW</v>
          </cell>
          <cell r="C542" t="str">
            <v>Acacia Sand Quarry - CMG Country NSW</v>
          </cell>
          <cell r="D542" t="str">
            <v>Acacia Road</v>
          </cell>
          <cell r="E542" t="str">
            <v>Kootingal</v>
          </cell>
          <cell r="F542" t="str">
            <v>2352</v>
          </cell>
          <cell r="G542" t="str">
            <v>New South Wales</v>
          </cell>
          <cell r="H542" t="str">
            <v>Australia</v>
          </cell>
          <cell r="I542" t="str">
            <v>Not Applicable</v>
          </cell>
          <cell r="J542">
            <v>0</v>
          </cell>
          <cell r="K542">
            <v>0</v>
          </cell>
          <cell r="L542">
            <v>89000</v>
          </cell>
          <cell r="M542">
            <v>6000</v>
          </cell>
          <cell r="N542">
            <v>0</v>
          </cell>
          <cell r="O542">
            <v>95000</v>
          </cell>
        </row>
        <row r="543">
          <cell r="A543" t="str">
            <v>274</v>
          </cell>
          <cell r="B543" t="str">
            <v>COUNTRY QUARRIES  NSW</v>
          </cell>
          <cell r="C543" t="str">
            <v>Armidale Sand Quarry</v>
          </cell>
          <cell r="D543" t="str">
            <v>Drew Street</v>
          </cell>
          <cell r="E543" t="str">
            <v>Armidale</v>
          </cell>
          <cell r="F543" t="str">
            <v>2350</v>
          </cell>
          <cell r="G543" t="str">
            <v>New South Wales</v>
          </cell>
          <cell r="H543" t="str">
            <v>Australia</v>
          </cell>
          <cell r="I543" t="str">
            <v>Not Applicable</v>
          </cell>
          <cell r="J543">
            <v>0</v>
          </cell>
          <cell r="K543">
            <v>18000</v>
          </cell>
          <cell r="L543">
            <v>161000</v>
          </cell>
          <cell r="M543">
            <v>5000</v>
          </cell>
          <cell r="N543">
            <v>0</v>
          </cell>
          <cell r="O543">
            <v>184000</v>
          </cell>
        </row>
        <row r="544">
          <cell r="A544" t="str">
            <v>274</v>
          </cell>
          <cell r="B544" t="str">
            <v>COUNTRY QUARRIES  NSW</v>
          </cell>
          <cell r="C544" t="str">
            <v>Bathurst Quarry - Country NSW</v>
          </cell>
          <cell r="D544" t="str">
            <v>Upfold Street</v>
          </cell>
          <cell r="E544" t="str">
            <v>Bathurst</v>
          </cell>
          <cell r="F544" t="str">
            <v>2795</v>
          </cell>
          <cell r="G544" t="str">
            <v>New South Wales</v>
          </cell>
          <cell r="H544" t="str">
            <v>Australia</v>
          </cell>
          <cell r="I544" t="str">
            <v>Not Applicable</v>
          </cell>
          <cell r="J544">
            <v>0</v>
          </cell>
          <cell r="K544">
            <v>0</v>
          </cell>
          <cell r="L544">
            <v>289000</v>
          </cell>
          <cell r="M544">
            <v>0</v>
          </cell>
          <cell r="N544">
            <v>72000</v>
          </cell>
          <cell r="O544">
            <v>361000</v>
          </cell>
        </row>
        <row r="545">
          <cell r="A545" t="str">
            <v>274</v>
          </cell>
          <cell r="B545" t="str">
            <v>COUNTRY QUARRIES  NSW</v>
          </cell>
          <cell r="C545" t="str">
            <v>Beryl Quarry - CMG Country NSW</v>
          </cell>
          <cell r="D545" t="str">
            <v>Springridge Road</v>
          </cell>
          <cell r="E545" t="str">
            <v>Beryl</v>
          </cell>
          <cell r="F545" t="str">
            <v>2852</v>
          </cell>
          <cell r="G545" t="str">
            <v>New South Wales</v>
          </cell>
          <cell r="H545" t="str">
            <v>Australia</v>
          </cell>
          <cell r="I545" t="str">
            <v>Not Applicable</v>
          </cell>
          <cell r="J545">
            <v>245000</v>
          </cell>
          <cell r="K545">
            <v>0</v>
          </cell>
          <cell r="L545">
            <v>2191000</v>
          </cell>
          <cell r="M545">
            <v>955000</v>
          </cell>
          <cell r="N545">
            <v>1476000</v>
          </cell>
          <cell r="O545">
            <v>4867000</v>
          </cell>
        </row>
        <row r="546">
          <cell r="A546" t="str">
            <v>274</v>
          </cell>
          <cell r="B546" t="str">
            <v>COUNTRY QUARRIES  NSW</v>
          </cell>
          <cell r="C546" t="str">
            <v>Burrier Quarry - CMG Country NSW</v>
          </cell>
          <cell r="D546" t="str">
            <v>Burrier Road</v>
          </cell>
          <cell r="E546" t="str">
            <v>Burrier</v>
          </cell>
          <cell r="F546" t="str">
            <v>2541</v>
          </cell>
          <cell r="G546" t="str">
            <v>New South Wales</v>
          </cell>
          <cell r="H546" t="str">
            <v>Australia</v>
          </cell>
          <cell r="I546" t="str">
            <v>Not Applicable</v>
          </cell>
          <cell r="J546">
            <v>240000</v>
          </cell>
          <cell r="K546">
            <v>0</v>
          </cell>
          <cell r="L546">
            <v>3099320</v>
          </cell>
          <cell r="M546">
            <v>1301000</v>
          </cell>
          <cell r="N546">
            <v>0</v>
          </cell>
          <cell r="O546">
            <v>4640320</v>
          </cell>
        </row>
        <row r="547">
          <cell r="A547" t="str">
            <v>274</v>
          </cell>
          <cell r="B547" t="str">
            <v>COUNTRY QUARRIES  NSW</v>
          </cell>
          <cell r="C547" t="str">
            <v>Byrock Quarry - CMG Country NSW</v>
          </cell>
          <cell r="D547" t="str">
            <v>Cobar Road</v>
          </cell>
          <cell r="E547" t="str">
            <v>Byrock</v>
          </cell>
          <cell r="F547" t="str">
            <v>2831</v>
          </cell>
          <cell r="G547" t="str">
            <v>New South Wales</v>
          </cell>
          <cell r="H547" t="str">
            <v>Australia</v>
          </cell>
          <cell r="I547" t="str">
            <v>Not Applicable</v>
          </cell>
          <cell r="J547">
            <v>131000</v>
          </cell>
          <cell r="K547">
            <v>0</v>
          </cell>
          <cell r="L547">
            <v>588218</v>
          </cell>
          <cell r="M547">
            <v>946000</v>
          </cell>
          <cell r="N547">
            <v>5000</v>
          </cell>
          <cell r="O547">
            <v>1670218</v>
          </cell>
        </row>
        <row r="548">
          <cell r="A548" t="str">
            <v>274</v>
          </cell>
          <cell r="B548" t="str">
            <v>COUNTRY QUARRIES  NSW</v>
          </cell>
          <cell r="C548" t="str">
            <v>Cobar Quarry</v>
          </cell>
          <cell r="D548" t="str">
            <v>Old Bourke Road</v>
          </cell>
          <cell r="E548" t="str">
            <v>Cobar</v>
          </cell>
          <cell r="F548" t="str">
            <v>2835</v>
          </cell>
          <cell r="G548" t="str">
            <v>New South Wales</v>
          </cell>
          <cell r="H548" t="str">
            <v>Australia</v>
          </cell>
          <cell r="I548" t="str">
            <v>Not Applicable</v>
          </cell>
          <cell r="J548">
            <v>13000</v>
          </cell>
          <cell r="K548">
            <v>0</v>
          </cell>
          <cell r="L548">
            <v>914298</v>
          </cell>
          <cell r="M548">
            <v>25000</v>
          </cell>
          <cell r="N548">
            <v>276000</v>
          </cell>
          <cell r="O548">
            <v>1228298</v>
          </cell>
        </row>
        <row r="549">
          <cell r="A549" t="str">
            <v>274</v>
          </cell>
          <cell r="B549" t="str">
            <v>COUNTRY QUARRIES  NSW</v>
          </cell>
          <cell r="C549" t="str">
            <v>Coffs Harbour Q - CMG Country Quarries NSW</v>
          </cell>
          <cell r="D549" t="str">
            <v>Bennets Rd</v>
          </cell>
          <cell r="E549" t="str">
            <v>Coffs Harbour</v>
          </cell>
          <cell r="F549" t="str">
            <v>2450</v>
          </cell>
          <cell r="G549" t="str">
            <v>New South Wales</v>
          </cell>
          <cell r="H549" t="str">
            <v>Australia</v>
          </cell>
          <cell r="I549" t="str">
            <v>Not Applicable</v>
          </cell>
          <cell r="J549">
            <v>102978</v>
          </cell>
          <cell r="K549">
            <v>0</v>
          </cell>
          <cell r="L549">
            <v>2217442</v>
          </cell>
          <cell r="M549">
            <v>2629000</v>
          </cell>
          <cell r="N549">
            <v>40000</v>
          </cell>
          <cell r="O549">
            <v>4989420</v>
          </cell>
        </row>
        <row r="550">
          <cell r="A550" t="str">
            <v>274</v>
          </cell>
          <cell r="B550" t="str">
            <v>COUNTRY QUARRIES  NSW</v>
          </cell>
          <cell r="C550" t="str">
            <v>Coonabarabran Quarry - Country NSW</v>
          </cell>
          <cell r="D550" t="str">
            <v>Oxley Highway</v>
          </cell>
          <cell r="E550" t="str">
            <v>Coonabarabran</v>
          </cell>
          <cell r="F550" t="str">
            <v>2857</v>
          </cell>
          <cell r="G550" t="str">
            <v>New South Wales</v>
          </cell>
          <cell r="H550" t="str">
            <v>Australia</v>
          </cell>
          <cell r="I550" t="str">
            <v>Not Applicable</v>
          </cell>
          <cell r="J550">
            <v>444426</v>
          </cell>
          <cell r="K550">
            <v>127000</v>
          </cell>
          <cell r="L550">
            <v>448137</v>
          </cell>
          <cell r="M550">
            <v>331000</v>
          </cell>
          <cell r="N550">
            <v>495000</v>
          </cell>
          <cell r="O550">
            <v>1845563</v>
          </cell>
        </row>
        <row r="551">
          <cell r="A551" t="str">
            <v>274</v>
          </cell>
          <cell r="B551" t="str">
            <v>COUNTRY QUARRIES  NSW</v>
          </cell>
          <cell r="C551" t="str">
            <v>Currabubula Q</v>
          </cell>
          <cell r="D551" t="str">
            <v>Strangers Rd</v>
          </cell>
          <cell r="E551" t="str">
            <v>Currabubula</v>
          </cell>
          <cell r="F551" t="str">
            <v>2342</v>
          </cell>
          <cell r="G551" t="str">
            <v>New South Wales</v>
          </cell>
          <cell r="H551" t="str">
            <v>Australia</v>
          </cell>
          <cell r="I551" t="str">
            <v>Not Applicable</v>
          </cell>
          <cell r="J551">
            <v>610946</v>
          </cell>
          <cell r="K551">
            <v>104000</v>
          </cell>
          <cell r="L551">
            <v>175051</v>
          </cell>
          <cell r="M551">
            <v>474000</v>
          </cell>
          <cell r="N551">
            <v>50000</v>
          </cell>
          <cell r="O551">
            <v>1413997</v>
          </cell>
        </row>
        <row r="552">
          <cell r="A552" t="str">
            <v>274</v>
          </cell>
          <cell r="B552" t="str">
            <v>COUNTRY QUARRIES  NSW</v>
          </cell>
          <cell r="C552" t="str">
            <v>Gosforth Quarry - CMG Country Quarries NSW</v>
          </cell>
          <cell r="D552" t="str">
            <v>Gosforth Road</v>
          </cell>
          <cell r="E552" t="str">
            <v>Gosforth</v>
          </cell>
          <cell r="F552" t="str">
            <v>2320</v>
          </cell>
          <cell r="G552" t="str">
            <v>New South Wales</v>
          </cell>
          <cell r="H552" t="str">
            <v>Australia</v>
          </cell>
          <cell r="I552" t="str">
            <v>Not Applicable</v>
          </cell>
          <cell r="J552">
            <v>0</v>
          </cell>
          <cell r="K552">
            <v>0</v>
          </cell>
          <cell r="L552">
            <v>0</v>
          </cell>
          <cell r="M552">
            <v>0</v>
          </cell>
          <cell r="N552">
            <v>20000</v>
          </cell>
          <cell r="O552">
            <v>20000</v>
          </cell>
        </row>
        <row r="553">
          <cell r="A553" t="str">
            <v>274</v>
          </cell>
          <cell r="B553" t="str">
            <v>COUNTRY QUARRIES  NSW</v>
          </cell>
          <cell r="C553" t="str">
            <v>Grafton Quarry - CMG Country Quarries NSW</v>
          </cell>
          <cell r="D553" t="str">
            <v>231 Fitzroy Street</v>
          </cell>
          <cell r="E553" t="str">
            <v>Grafton</v>
          </cell>
          <cell r="F553" t="str">
            <v>2460</v>
          </cell>
          <cell r="G553" t="str">
            <v>New South Wales</v>
          </cell>
          <cell r="H553" t="str">
            <v>Australia</v>
          </cell>
          <cell r="I553" t="str">
            <v>Not Applicable</v>
          </cell>
          <cell r="J553">
            <v>97696</v>
          </cell>
          <cell r="K553">
            <v>12000</v>
          </cell>
          <cell r="L553">
            <v>781927</v>
          </cell>
          <cell r="M553">
            <v>741000</v>
          </cell>
          <cell r="N553">
            <v>0</v>
          </cell>
          <cell r="O553">
            <v>1632623</v>
          </cell>
        </row>
        <row r="554">
          <cell r="A554" t="str">
            <v>274</v>
          </cell>
          <cell r="B554" t="str">
            <v>COUNTRY QUARRIES  NSW</v>
          </cell>
          <cell r="C554" t="str">
            <v>Gunnedah Quarry</v>
          </cell>
          <cell r="D554" t="str">
            <v>Gunnembene Road</v>
          </cell>
          <cell r="E554" t="str">
            <v>Carroll</v>
          </cell>
          <cell r="F554" t="str">
            <v>2380</v>
          </cell>
          <cell r="G554" t="str">
            <v>New South Wales</v>
          </cell>
          <cell r="H554" t="str">
            <v>Australia</v>
          </cell>
          <cell r="I554" t="str">
            <v>Not Applicable</v>
          </cell>
          <cell r="J554">
            <v>0</v>
          </cell>
          <cell r="K554">
            <v>0</v>
          </cell>
          <cell r="L554">
            <v>123000</v>
          </cell>
          <cell r="M554">
            <v>0</v>
          </cell>
          <cell r="N554">
            <v>0</v>
          </cell>
          <cell r="O554">
            <v>123000</v>
          </cell>
        </row>
        <row r="555">
          <cell r="A555" t="str">
            <v>274</v>
          </cell>
          <cell r="B555" t="str">
            <v>COUNTRY QUARRIES  NSW</v>
          </cell>
          <cell r="C555" t="str">
            <v>Hall Quarry - CMG Country Quarries NSW</v>
          </cell>
          <cell r="D555" t="str">
            <v>Barton Highway</v>
          </cell>
          <cell r="E555" t="str">
            <v>Hall</v>
          </cell>
          <cell r="F555" t="str">
            <v>2582</v>
          </cell>
          <cell r="G555" t="str">
            <v>New South Wales</v>
          </cell>
          <cell r="H555" t="str">
            <v>Australia</v>
          </cell>
          <cell r="I555" t="str">
            <v>Not Applicable</v>
          </cell>
          <cell r="J555">
            <v>332444</v>
          </cell>
          <cell r="K555">
            <v>216000</v>
          </cell>
          <cell r="L555">
            <v>6470430</v>
          </cell>
          <cell r="M555">
            <v>755000</v>
          </cell>
          <cell r="N555">
            <v>1496000</v>
          </cell>
          <cell r="O555">
            <v>9269874</v>
          </cell>
        </row>
        <row r="556">
          <cell r="A556" t="str">
            <v>274</v>
          </cell>
          <cell r="B556" t="str">
            <v>COUNTRY QUARRIES  NSW</v>
          </cell>
          <cell r="C556" t="str">
            <v>Hall Quarry Laboratory - Country NSW</v>
          </cell>
          <cell r="D556" t="str">
            <v>Hall Quarry, Kaveney Road via Barton Highway</v>
          </cell>
          <cell r="E556" t="str">
            <v>Hall</v>
          </cell>
          <cell r="F556" t="str">
            <v>2618</v>
          </cell>
          <cell r="G556" t="str">
            <v>Australian Capital Territory</v>
          </cell>
          <cell r="H556" t="str">
            <v>Australia</v>
          </cell>
          <cell r="I556" t="str">
            <v>Not Applicable</v>
          </cell>
          <cell r="J556">
            <v>0</v>
          </cell>
          <cell r="K556">
            <v>100000</v>
          </cell>
          <cell r="L556">
            <v>8000</v>
          </cell>
          <cell r="M556">
            <v>0</v>
          </cell>
          <cell r="N556">
            <v>2000</v>
          </cell>
          <cell r="O556">
            <v>110000</v>
          </cell>
        </row>
        <row r="557">
          <cell r="A557" t="str">
            <v>274</v>
          </cell>
          <cell r="B557" t="str">
            <v>COUNTRY QUARRIES  NSW</v>
          </cell>
          <cell r="C557" t="str">
            <v>Johns River Quarry</v>
          </cell>
          <cell r="D557" t="str">
            <v>Lot 44 Bulleys Road</v>
          </cell>
          <cell r="E557" t="str">
            <v>Johns River</v>
          </cell>
          <cell r="F557" t="str">
            <v>2443</v>
          </cell>
          <cell r="G557" t="str">
            <v>New South Wales</v>
          </cell>
          <cell r="H557" t="str">
            <v>Australia</v>
          </cell>
          <cell r="I557" t="str">
            <v>Not Applicable</v>
          </cell>
          <cell r="J557">
            <v>317613</v>
          </cell>
          <cell r="K557">
            <v>12000</v>
          </cell>
          <cell r="L557">
            <v>5310160</v>
          </cell>
          <cell r="M557">
            <v>2284000</v>
          </cell>
          <cell r="N557">
            <v>560000</v>
          </cell>
          <cell r="O557">
            <v>8483773</v>
          </cell>
        </row>
        <row r="558">
          <cell r="A558" t="str">
            <v>274</v>
          </cell>
          <cell r="B558" t="str">
            <v>COUNTRY QUARRIES  NSW</v>
          </cell>
          <cell r="C558" t="str">
            <v>Kooragang Recycling</v>
          </cell>
          <cell r="D558" t="str">
            <v>Kooragang Island</v>
          </cell>
          <cell r="E558" t="str">
            <v>Kooragang Island</v>
          </cell>
          <cell r="F558" t="str">
            <v>2304</v>
          </cell>
          <cell r="G558" t="str">
            <v>New South Wales</v>
          </cell>
          <cell r="H558" t="str">
            <v>Australia</v>
          </cell>
          <cell r="I558" t="str">
            <v>Not Applicable</v>
          </cell>
          <cell r="J558">
            <v>0</v>
          </cell>
          <cell r="K558">
            <v>20000</v>
          </cell>
          <cell r="L558">
            <v>130000</v>
          </cell>
          <cell r="M558">
            <v>50000</v>
          </cell>
          <cell r="N558">
            <v>0</v>
          </cell>
          <cell r="O558">
            <v>200000</v>
          </cell>
        </row>
        <row r="559">
          <cell r="A559" t="str">
            <v>274</v>
          </cell>
          <cell r="B559" t="str">
            <v>COUNTRY QUARRIES  NSW</v>
          </cell>
          <cell r="C559" t="str">
            <v>Maryvale (Wellington) Quarry</v>
          </cell>
          <cell r="D559" t="str">
            <v>Mitchell Highway</v>
          </cell>
          <cell r="E559" t="str">
            <v>Maryvale</v>
          </cell>
          <cell r="F559" t="str">
            <v>2820</v>
          </cell>
          <cell r="G559" t="str">
            <v>New South Wales</v>
          </cell>
          <cell r="H559" t="str">
            <v>Australia</v>
          </cell>
          <cell r="I559" t="str">
            <v>Not Applicable</v>
          </cell>
          <cell r="J559">
            <v>37702</v>
          </cell>
          <cell r="K559">
            <v>0</v>
          </cell>
          <cell r="L559">
            <v>287490</v>
          </cell>
          <cell r="M559">
            <v>307000</v>
          </cell>
          <cell r="N559">
            <v>276000</v>
          </cell>
          <cell r="O559">
            <v>908192</v>
          </cell>
        </row>
        <row r="560">
          <cell r="A560" t="str">
            <v>274</v>
          </cell>
          <cell r="B560" t="str">
            <v>COUNTRY QUARRIES  NSW</v>
          </cell>
          <cell r="C560" t="str">
            <v>Metz Quarry</v>
          </cell>
          <cell r="D560" t="str">
            <v>Metz Road</v>
          </cell>
          <cell r="E560" t="str">
            <v>Metz</v>
          </cell>
          <cell r="F560" t="str">
            <v>2350</v>
          </cell>
          <cell r="G560" t="str">
            <v>New South Wales</v>
          </cell>
          <cell r="H560" t="str">
            <v>Australia</v>
          </cell>
          <cell r="I560" t="str">
            <v>Not Applicable</v>
          </cell>
          <cell r="J560">
            <v>23000</v>
          </cell>
          <cell r="K560">
            <v>116000</v>
          </cell>
          <cell r="L560">
            <v>401000</v>
          </cell>
          <cell r="M560">
            <v>0</v>
          </cell>
          <cell r="N560">
            <v>0</v>
          </cell>
          <cell r="O560">
            <v>540000</v>
          </cell>
        </row>
        <row r="561">
          <cell r="A561" t="str">
            <v>274</v>
          </cell>
          <cell r="B561" t="str">
            <v>COUNTRY QUARRIES  NSW</v>
          </cell>
          <cell r="C561" t="str">
            <v>Mugga 1 Quarry</v>
          </cell>
          <cell r="D561" t="str">
            <v>Mugga Lane</v>
          </cell>
          <cell r="E561" t="str">
            <v>Woden</v>
          </cell>
          <cell r="F561" t="str">
            <v>2606</v>
          </cell>
          <cell r="G561" t="str">
            <v>Australian Capital Territory</v>
          </cell>
          <cell r="H561" t="str">
            <v>Australia</v>
          </cell>
          <cell r="I561" t="str">
            <v>Not Applicable</v>
          </cell>
          <cell r="J561">
            <v>137236</v>
          </cell>
          <cell r="K561">
            <v>0</v>
          </cell>
          <cell r="L561">
            <v>2896742</v>
          </cell>
          <cell r="M561">
            <v>3183000</v>
          </cell>
          <cell r="N561">
            <v>0</v>
          </cell>
          <cell r="O561">
            <v>6216978</v>
          </cell>
        </row>
        <row r="562">
          <cell r="A562" t="str">
            <v>274</v>
          </cell>
          <cell r="B562" t="str">
            <v>COUNTRY QUARRIES  NSW</v>
          </cell>
          <cell r="C562" t="str">
            <v>Narrabri Quarry</v>
          </cell>
          <cell r="D562" t="str">
            <v>Wee Waa Rd</v>
          </cell>
          <cell r="E562" t="str">
            <v>Narrabri</v>
          </cell>
          <cell r="F562" t="str">
            <v>2390</v>
          </cell>
          <cell r="G562" t="str">
            <v>New South Wales</v>
          </cell>
          <cell r="H562" t="str">
            <v>Australia</v>
          </cell>
          <cell r="I562" t="str">
            <v>Not Applicable</v>
          </cell>
          <cell r="J562">
            <v>0</v>
          </cell>
          <cell r="K562">
            <v>0</v>
          </cell>
          <cell r="L562">
            <v>100000</v>
          </cell>
          <cell r="M562">
            <v>0</v>
          </cell>
          <cell r="N562">
            <v>0</v>
          </cell>
          <cell r="O562">
            <v>100000</v>
          </cell>
        </row>
        <row r="563">
          <cell r="A563" t="str">
            <v>274</v>
          </cell>
          <cell r="B563" t="str">
            <v>COUNTRY QUARRIES  NSW</v>
          </cell>
          <cell r="C563" t="str">
            <v>Oakhampton Quarry</v>
          </cell>
          <cell r="D563" t="str">
            <v>Oakhampton Road</v>
          </cell>
          <cell r="E563" t="str">
            <v>Maitland</v>
          </cell>
          <cell r="F563" t="str">
            <v>2320</v>
          </cell>
          <cell r="G563" t="str">
            <v>New South Wales</v>
          </cell>
          <cell r="H563" t="str">
            <v>Australia</v>
          </cell>
          <cell r="I563" t="str">
            <v>Not Applicable</v>
          </cell>
          <cell r="J563">
            <v>0</v>
          </cell>
          <cell r="K563">
            <v>0</v>
          </cell>
          <cell r="L563">
            <v>3000</v>
          </cell>
          <cell r="M563">
            <v>0</v>
          </cell>
          <cell r="N563">
            <v>0</v>
          </cell>
          <cell r="O563">
            <v>3000</v>
          </cell>
        </row>
        <row r="564">
          <cell r="A564" t="str">
            <v>274</v>
          </cell>
          <cell r="B564" t="str">
            <v>COUNTRY QUARRIES  NSW</v>
          </cell>
          <cell r="C564" t="str">
            <v>Orange Q  - CMG Country Quarry NSW</v>
          </cell>
          <cell r="D564" t="str">
            <v>Shadforth Via</v>
          </cell>
          <cell r="E564" t="str">
            <v>Orange</v>
          </cell>
          <cell r="F564" t="str">
            <v>2800</v>
          </cell>
          <cell r="G564" t="str">
            <v>New South Wales</v>
          </cell>
          <cell r="H564" t="str">
            <v>Australia</v>
          </cell>
          <cell r="I564" t="str">
            <v>Not Applicable</v>
          </cell>
          <cell r="J564">
            <v>570332</v>
          </cell>
          <cell r="K564">
            <v>0</v>
          </cell>
          <cell r="L564">
            <v>2096989</v>
          </cell>
          <cell r="M564">
            <v>945000</v>
          </cell>
          <cell r="N564">
            <v>210000</v>
          </cell>
          <cell r="O564">
            <v>3822321</v>
          </cell>
        </row>
        <row r="565">
          <cell r="A565" t="str">
            <v>274</v>
          </cell>
          <cell r="B565" t="str">
            <v>COUNTRY QUARRIES  NSW</v>
          </cell>
          <cell r="C565" t="str">
            <v>Pambula Quarry</v>
          </cell>
          <cell r="D565" t="str">
            <v>Wyndham Road</v>
          </cell>
          <cell r="E565" t="str">
            <v>Pambula</v>
          </cell>
          <cell r="F565" t="str">
            <v>2549</v>
          </cell>
          <cell r="G565" t="str">
            <v>New South Wales</v>
          </cell>
          <cell r="H565" t="str">
            <v>Australia</v>
          </cell>
          <cell r="I565" t="str">
            <v>Not Applicable</v>
          </cell>
          <cell r="J565">
            <v>58662</v>
          </cell>
          <cell r="K565">
            <v>52000</v>
          </cell>
          <cell r="L565">
            <v>411000</v>
          </cell>
          <cell r="M565">
            <v>0</v>
          </cell>
          <cell r="N565">
            <v>0</v>
          </cell>
          <cell r="O565">
            <v>521662</v>
          </cell>
        </row>
        <row r="566">
          <cell r="A566" t="str">
            <v>274</v>
          </cell>
          <cell r="B566" t="str">
            <v>COUNTRY QUARRIES  NSW</v>
          </cell>
          <cell r="C566" t="str">
            <v>Port Kembla Quarry Office</v>
          </cell>
          <cell r="D566" t="str">
            <v>Five Isalnds Rd</v>
          </cell>
          <cell r="E566" t="str">
            <v>Port Kembla</v>
          </cell>
          <cell r="F566" t="str">
            <v>2501</v>
          </cell>
          <cell r="G566" t="str">
            <v>Overseas Operations</v>
          </cell>
          <cell r="H566" t="str">
            <v>Australia</v>
          </cell>
          <cell r="I566" t="str">
            <v>Not Applicable</v>
          </cell>
          <cell r="J566">
            <v>0</v>
          </cell>
          <cell r="K566">
            <v>60000</v>
          </cell>
          <cell r="L566">
            <v>0</v>
          </cell>
          <cell r="M566">
            <v>0</v>
          </cell>
          <cell r="N566">
            <v>0</v>
          </cell>
          <cell r="O566">
            <v>60000</v>
          </cell>
        </row>
        <row r="567">
          <cell r="A567" t="str">
            <v>274</v>
          </cell>
          <cell r="B567" t="str">
            <v>COUNTRY QUARRIES  NSW</v>
          </cell>
          <cell r="C567" t="str">
            <v>Property Rental - Grafton Fitzroy St - Country Quarries</v>
          </cell>
          <cell r="D567" t="str">
            <v>225 &amp; 227 Fitzroy Street</v>
          </cell>
          <cell r="E567" t="str">
            <v>Grafton</v>
          </cell>
          <cell r="F567" t="str">
            <v>2460</v>
          </cell>
          <cell r="G567" t="str">
            <v>New South Wales</v>
          </cell>
          <cell r="H567" t="str">
            <v>Australia</v>
          </cell>
          <cell r="I567" t="str">
            <v>Not Applicable</v>
          </cell>
          <cell r="J567">
            <v>0</v>
          </cell>
          <cell r="K567">
            <v>190000</v>
          </cell>
          <cell r="L567">
            <v>0</v>
          </cell>
          <cell r="M567">
            <v>0</v>
          </cell>
          <cell r="N567">
            <v>0</v>
          </cell>
          <cell r="O567">
            <v>190000</v>
          </cell>
        </row>
        <row r="568">
          <cell r="A568" t="str">
            <v>274</v>
          </cell>
          <cell r="B568" t="str">
            <v>COUNTRY QUARRIES  NSW</v>
          </cell>
          <cell r="C568" t="str">
            <v>Property Rental - Seaham Quarry Italia Rd - Country Concrete NSW</v>
          </cell>
          <cell r="D568" t="str">
            <v>Italia Rd</v>
          </cell>
          <cell r="E568" t="str">
            <v>Seaham</v>
          </cell>
          <cell r="F568" t="str">
            <v>2324</v>
          </cell>
          <cell r="G568" t="str">
            <v>New South Wales</v>
          </cell>
          <cell r="H568" t="str">
            <v>Australia</v>
          </cell>
          <cell r="I568" t="str">
            <v>Not Applicable</v>
          </cell>
          <cell r="J568">
            <v>0</v>
          </cell>
          <cell r="K568">
            <v>120000</v>
          </cell>
          <cell r="L568">
            <v>0</v>
          </cell>
          <cell r="M568">
            <v>0</v>
          </cell>
          <cell r="N568">
            <v>0</v>
          </cell>
          <cell r="O568">
            <v>120000</v>
          </cell>
        </row>
        <row r="569">
          <cell r="A569" t="str">
            <v>274</v>
          </cell>
          <cell r="B569" t="str">
            <v>COUNTRY QUARRIES  NSW</v>
          </cell>
          <cell r="C569" t="str">
            <v>Property Rental - Taven Quarry - Country Quarry NSW</v>
          </cell>
          <cell r="D569" t="str">
            <v>North Taven Road</v>
          </cell>
          <cell r="E569" t="str">
            <v>Teven</v>
          </cell>
          <cell r="F569" t="str">
            <v>2478</v>
          </cell>
          <cell r="G569" t="str">
            <v>New South Wales</v>
          </cell>
          <cell r="H569" t="str">
            <v>Australia</v>
          </cell>
          <cell r="I569" t="str">
            <v>Not Applicable</v>
          </cell>
          <cell r="J569">
            <v>0</v>
          </cell>
          <cell r="K569">
            <v>100000</v>
          </cell>
          <cell r="L569">
            <v>0</v>
          </cell>
          <cell r="M569">
            <v>0</v>
          </cell>
          <cell r="N569">
            <v>0</v>
          </cell>
          <cell r="O569">
            <v>100000</v>
          </cell>
        </row>
        <row r="570">
          <cell r="A570" t="str">
            <v>274</v>
          </cell>
          <cell r="B570" t="str">
            <v>COUNTRY QUARRIES  NSW</v>
          </cell>
          <cell r="C570" t="str">
            <v>Rental Property - Johns River Bulleys Rd - Country Quarries</v>
          </cell>
          <cell r="D570" t="str">
            <v>Lot 42 Bulleys Road</v>
          </cell>
          <cell r="E570" t="str">
            <v>Johns River</v>
          </cell>
          <cell r="F570" t="str">
            <v>2443</v>
          </cell>
          <cell r="G570" t="str">
            <v>New South Wales</v>
          </cell>
          <cell r="H570" t="str">
            <v>Australia</v>
          </cell>
          <cell r="I570" t="str">
            <v>Not Applicable</v>
          </cell>
          <cell r="J570">
            <v>0</v>
          </cell>
          <cell r="K570">
            <v>120000</v>
          </cell>
          <cell r="L570">
            <v>0</v>
          </cell>
          <cell r="M570">
            <v>0</v>
          </cell>
          <cell r="N570">
            <v>0</v>
          </cell>
          <cell r="O570">
            <v>120000</v>
          </cell>
        </row>
        <row r="571">
          <cell r="A571" t="str">
            <v>274</v>
          </cell>
          <cell r="B571" t="str">
            <v>COUNTRY QUARRIES  NSW</v>
          </cell>
          <cell r="C571" t="str">
            <v>Seaham Quarry</v>
          </cell>
          <cell r="D571" t="str">
            <v>Italia Road</v>
          </cell>
          <cell r="E571" t="str">
            <v>Raymond Terrace</v>
          </cell>
          <cell r="F571" t="str">
            <v>2324</v>
          </cell>
          <cell r="G571" t="str">
            <v>New South Wales</v>
          </cell>
          <cell r="H571" t="str">
            <v>Australia</v>
          </cell>
          <cell r="I571" t="str">
            <v>Not Applicable</v>
          </cell>
          <cell r="J571">
            <v>1056703</v>
          </cell>
          <cell r="K571">
            <v>579000</v>
          </cell>
          <cell r="L571">
            <v>14037337</v>
          </cell>
          <cell r="M571">
            <v>5220000</v>
          </cell>
          <cell r="N571">
            <v>600000</v>
          </cell>
          <cell r="O571">
            <v>21493040</v>
          </cell>
        </row>
        <row r="572">
          <cell r="A572" t="str">
            <v>274</v>
          </cell>
          <cell r="B572" t="str">
            <v>COUNTRY QUARRIES  NSW</v>
          </cell>
          <cell r="C572" t="str">
            <v>Slag Plant - CMG Country Concrete NSW</v>
          </cell>
          <cell r="D572" t="str">
            <v>Industrial Drive</v>
          </cell>
          <cell r="E572" t="str">
            <v>Mayfield</v>
          </cell>
          <cell r="F572" t="str">
            <v>2304</v>
          </cell>
          <cell r="G572" t="str">
            <v>New South Wales</v>
          </cell>
          <cell r="H572" t="str">
            <v>Australia</v>
          </cell>
          <cell r="I572" t="str">
            <v>Not Applicable</v>
          </cell>
          <cell r="J572">
            <v>27970</v>
          </cell>
          <cell r="K572">
            <v>0</v>
          </cell>
          <cell r="L572">
            <v>165904</v>
          </cell>
          <cell r="M572">
            <v>440000</v>
          </cell>
          <cell r="N572">
            <v>0</v>
          </cell>
          <cell r="O572">
            <v>633874</v>
          </cell>
        </row>
        <row r="573">
          <cell r="A573" t="str">
            <v>274</v>
          </cell>
          <cell r="B573" t="str">
            <v>COUNTRY QUARRIES  NSW</v>
          </cell>
          <cell r="C573" t="str">
            <v>Stockton Quarry</v>
          </cell>
          <cell r="D573" t="str">
            <v>Cox Lane</v>
          </cell>
          <cell r="E573" t="str">
            <v>Fern Bay</v>
          </cell>
          <cell r="F573" t="str">
            <v>2295</v>
          </cell>
          <cell r="G573" t="str">
            <v>New South Wales</v>
          </cell>
          <cell r="H573" t="str">
            <v>Australia</v>
          </cell>
          <cell r="I573" t="str">
            <v>Not Applicable</v>
          </cell>
          <cell r="J573">
            <v>0</v>
          </cell>
          <cell r="K573">
            <v>0</v>
          </cell>
          <cell r="L573">
            <v>391395</v>
          </cell>
          <cell r="M573">
            <v>389000</v>
          </cell>
          <cell r="N573">
            <v>0</v>
          </cell>
          <cell r="O573">
            <v>780395</v>
          </cell>
        </row>
        <row r="574">
          <cell r="A574" t="str">
            <v>274</v>
          </cell>
          <cell r="B574" t="str">
            <v>COUNTRY QUARRIES  NSW</v>
          </cell>
          <cell r="C574" t="str">
            <v>Talbragar Lab</v>
          </cell>
          <cell r="D574" t="str">
            <v>Brockelhurst Via Dubbo</v>
          </cell>
          <cell r="E574" t="str">
            <v>Talbragar</v>
          </cell>
          <cell r="F574" t="str">
            <v>2830</v>
          </cell>
          <cell r="G574" t="str">
            <v>New South Wales</v>
          </cell>
          <cell r="H574" t="str">
            <v>Australia</v>
          </cell>
          <cell r="I574" t="str">
            <v>Not Applicable</v>
          </cell>
          <cell r="J574">
            <v>0</v>
          </cell>
          <cell r="K574">
            <v>0</v>
          </cell>
          <cell r="L574">
            <v>56000</v>
          </cell>
          <cell r="M574">
            <v>0</v>
          </cell>
          <cell r="N574">
            <v>0</v>
          </cell>
          <cell r="O574">
            <v>56000</v>
          </cell>
        </row>
        <row r="575">
          <cell r="A575" t="str">
            <v>274</v>
          </cell>
          <cell r="B575" t="str">
            <v>COUNTRY QUARRIES  NSW</v>
          </cell>
          <cell r="C575" t="str">
            <v>Talbragar Quarry</v>
          </cell>
          <cell r="D575" t="str">
            <v>Mendooran Raod</v>
          </cell>
          <cell r="E575" t="str">
            <v>Talbragar</v>
          </cell>
          <cell r="F575" t="str">
            <v>2830</v>
          </cell>
          <cell r="G575" t="str">
            <v>New South Wales</v>
          </cell>
          <cell r="H575" t="str">
            <v>Australia</v>
          </cell>
          <cell r="I575" t="str">
            <v>Not Applicable</v>
          </cell>
          <cell r="J575">
            <v>703923</v>
          </cell>
          <cell r="K575">
            <v>174000</v>
          </cell>
          <cell r="L575">
            <v>3691180</v>
          </cell>
          <cell r="M575">
            <v>2682000</v>
          </cell>
          <cell r="N575">
            <v>4426000</v>
          </cell>
          <cell r="O575">
            <v>11677103</v>
          </cell>
        </row>
        <row r="576">
          <cell r="A576" t="str">
            <v>274</v>
          </cell>
          <cell r="B576" t="str">
            <v>COUNTRY QUARRIES  NSW</v>
          </cell>
          <cell r="C576" t="str">
            <v>Terramungamine Quarry</v>
          </cell>
          <cell r="D576" t="str">
            <v>Furney's Road</v>
          </cell>
          <cell r="E576" t="str">
            <v>Terramungamine</v>
          </cell>
          <cell r="F576" t="str">
            <v>2830</v>
          </cell>
          <cell r="G576" t="str">
            <v>New South Wales</v>
          </cell>
          <cell r="H576" t="str">
            <v>Australia</v>
          </cell>
          <cell r="I576" t="str">
            <v>Not Applicable</v>
          </cell>
          <cell r="J576">
            <v>90493</v>
          </cell>
          <cell r="K576">
            <v>29000</v>
          </cell>
          <cell r="L576">
            <v>498240</v>
          </cell>
          <cell r="M576">
            <v>965000</v>
          </cell>
          <cell r="N576">
            <v>1496000</v>
          </cell>
          <cell r="O576">
            <v>3078733</v>
          </cell>
        </row>
        <row r="577">
          <cell r="A577" t="str">
            <v>274</v>
          </cell>
          <cell r="B577" t="str">
            <v>COUNTRY QUARRIES  NSW</v>
          </cell>
          <cell r="C577" t="str">
            <v>Teven Quarry</v>
          </cell>
          <cell r="D577" t="str">
            <v>North Teven Road</v>
          </cell>
          <cell r="E577" t="str">
            <v>Teven</v>
          </cell>
          <cell r="F577" t="str">
            <v>2480</v>
          </cell>
          <cell r="G577" t="str">
            <v>New South Wales</v>
          </cell>
          <cell r="H577" t="str">
            <v>Australia</v>
          </cell>
          <cell r="I577" t="str">
            <v>Not Applicable</v>
          </cell>
          <cell r="J577">
            <v>113925</v>
          </cell>
          <cell r="K577">
            <v>241000</v>
          </cell>
          <cell r="L577">
            <v>4119577</v>
          </cell>
          <cell r="M577">
            <v>2546000</v>
          </cell>
          <cell r="N577">
            <v>600000</v>
          </cell>
          <cell r="O577">
            <v>7620502</v>
          </cell>
        </row>
        <row r="578">
          <cell r="A578" t="str">
            <v>274</v>
          </cell>
          <cell r="B578" t="str">
            <v>COUNTRY QUARRIES  NSW</v>
          </cell>
          <cell r="C578" t="str">
            <v>Wave Hill (Narrabri) Quarry</v>
          </cell>
          <cell r="D578" t="str">
            <v>Wave Hill Road</v>
          </cell>
          <cell r="E578" t="str">
            <v>Narrabri</v>
          </cell>
          <cell r="F578" t="str">
            <v>2390</v>
          </cell>
          <cell r="G578" t="str">
            <v>New South Wales</v>
          </cell>
          <cell r="H578" t="str">
            <v>Australia</v>
          </cell>
          <cell r="I578" t="str">
            <v>Not Applicable</v>
          </cell>
          <cell r="J578">
            <v>450039</v>
          </cell>
          <cell r="K578">
            <v>0</v>
          </cell>
          <cell r="L578">
            <v>127714</v>
          </cell>
          <cell r="M578">
            <v>382000</v>
          </cell>
          <cell r="N578">
            <v>200000</v>
          </cell>
          <cell r="O578">
            <v>1159753</v>
          </cell>
        </row>
        <row r="579">
          <cell r="A579" t="str">
            <v>276</v>
          </cell>
          <cell r="B579" t="str">
            <v>BITUMAX PTY LTD</v>
          </cell>
          <cell r="C579" t="str">
            <v>Gepps Cross Plant - Apshalt Sa</v>
          </cell>
          <cell r="D579" t="str">
            <v>Prospect Road Extension</v>
          </cell>
          <cell r="E579" t="str">
            <v>Gepps Cross</v>
          </cell>
          <cell r="F579" t="str">
            <v>5094</v>
          </cell>
          <cell r="G579" t="str">
            <v>South Australia</v>
          </cell>
          <cell r="H579" t="str">
            <v>Australia</v>
          </cell>
          <cell r="I579" t="str">
            <v>Not Applicable</v>
          </cell>
          <cell r="J579">
            <v>60000</v>
          </cell>
          <cell r="K579">
            <v>300000</v>
          </cell>
          <cell r="L579">
            <v>1250000</v>
          </cell>
          <cell r="M579">
            <v>50000</v>
          </cell>
          <cell r="N579">
            <v>10000</v>
          </cell>
          <cell r="O579">
            <v>1670000</v>
          </cell>
        </row>
        <row r="580">
          <cell r="A580" t="str">
            <v>276</v>
          </cell>
          <cell r="B580" t="str">
            <v>BITUMAX PTY LTD</v>
          </cell>
          <cell r="C580" t="str">
            <v>Whyalla Plant - Asphalt SA</v>
          </cell>
          <cell r="D580" t="str">
            <v>5 Cook Street</v>
          </cell>
          <cell r="E580" t="str">
            <v>Whyalla</v>
          </cell>
          <cell r="F580" t="str">
            <v>5608</v>
          </cell>
          <cell r="G580" t="str">
            <v>South Australia</v>
          </cell>
          <cell r="H580" t="str">
            <v>Australia</v>
          </cell>
          <cell r="I580" t="str">
            <v>Not Applicable</v>
          </cell>
          <cell r="J580">
            <v>5000</v>
          </cell>
          <cell r="K580">
            <v>10000</v>
          </cell>
          <cell r="L580">
            <v>200000</v>
          </cell>
          <cell r="M580">
            <v>20000</v>
          </cell>
          <cell r="N580">
            <v>10000</v>
          </cell>
          <cell r="O580">
            <v>245000</v>
          </cell>
        </row>
        <row r="581">
          <cell r="A581" t="str">
            <v>276</v>
          </cell>
          <cell r="B581" t="str">
            <v>BITUMAX PTY LTD</v>
          </cell>
          <cell r="C581" t="str">
            <v>Yard Plympton</v>
          </cell>
          <cell r="D581" t="str">
            <v>69 Mooringe Ave</v>
          </cell>
          <cell r="E581" t="str">
            <v>Plympton</v>
          </cell>
          <cell r="F581" t="str">
            <v>5038</v>
          </cell>
          <cell r="G581" t="str">
            <v>South Australia</v>
          </cell>
          <cell r="H581" t="str">
            <v>Australia</v>
          </cell>
          <cell r="I581" t="str">
            <v>Not Applicable</v>
          </cell>
          <cell r="J581">
            <v>20000</v>
          </cell>
          <cell r="K581">
            <v>550000</v>
          </cell>
          <cell r="L581">
            <v>250000</v>
          </cell>
          <cell r="M581">
            <v>2750000</v>
          </cell>
          <cell r="N581">
            <v>25000</v>
          </cell>
          <cell r="O581">
            <v>3595000</v>
          </cell>
        </row>
        <row r="582">
          <cell r="A582" t="str">
            <v>277</v>
          </cell>
          <cell r="B582" t="str">
            <v>BORAL RECYCLING MANAGEMENT</v>
          </cell>
          <cell r="C582" t="str">
            <v>Prospect - Recycling</v>
          </cell>
          <cell r="D582" t="str">
            <v>Greystanes Road</v>
          </cell>
          <cell r="E582" t="str">
            <v>Greystanes</v>
          </cell>
          <cell r="F582" t="str">
            <v>2145</v>
          </cell>
          <cell r="G582" t="str">
            <v>New South Wales</v>
          </cell>
          <cell r="H582" t="str">
            <v>Australia</v>
          </cell>
          <cell r="I582" t="str">
            <v>Not Applicable</v>
          </cell>
          <cell r="J582">
            <v>250000</v>
          </cell>
          <cell r="K582">
            <v>100000</v>
          </cell>
          <cell r="L582">
            <v>1000000</v>
          </cell>
          <cell r="M582">
            <v>500000</v>
          </cell>
          <cell r="N582">
            <v>100000</v>
          </cell>
          <cell r="O582">
            <v>1950000</v>
          </cell>
        </row>
        <row r="583">
          <cell r="A583" t="str">
            <v>290</v>
          </cell>
          <cell r="B583" t="str">
            <v>CONCRETE SA</v>
          </cell>
          <cell r="C583" t="str">
            <v>Burnside Concrete</v>
          </cell>
          <cell r="D583" t="str">
            <v>Slapes Gully Road</v>
          </cell>
          <cell r="E583" t="str">
            <v>Burnside</v>
          </cell>
          <cell r="F583" t="str">
            <v>5066</v>
          </cell>
          <cell r="G583" t="str">
            <v>South Australia</v>
          </cell>
          <cell r="H583" t="str">
            <v>Australia</v>
          </cell>
          <cell r="I583" t="str">
            <v>Not Applicable</v>
          </cell>
          <cell r="J583">
            <v>45000</v>
          </cell>
          <cell r="K583">
            <v>50000</v>
          </cell>
          <cell r="L583">
            <v>2200000</v>
          </cell>
          <cell r="M583">
            <v>50000</v>
          </cell>
          <cell r="N583">
            <v>445000</v>
          </cell>
          <cell r="O583">
            <v>2790000</v>
          </cell>
        </row>
        <row r="584">
          <cell r="A584" t="str">
            <v>290</v>
          </cell>
          <cell r="B584" t="str">
            <v>CONCRETE SA</v>
          </cell>
          <cell r="C584" t="str">
            <v>Gawler Concrete</v>
          </cell>
          <cell r="D584" t="str">
            <v>Allendale Road</v>
          </cell>
          <cell r="E584" t="str">
            <v>Gawler East</v>
          </cell>
          <cell r="F584" t="str">
            <v>5118</v>
          </cell>
          <cell r="G584" t="str">
            <v>South Australia</v>
          </cell>
          <cell r="H584" t="str">
            <v>Australia</v>
          </cell>
          <cell r="I584" t="str">
            <v>Not Applicable</v>
          </cell>
          <cell r="J584">
            <v>1000</v>
          </cell>
          <cell r="K584">
            <v>1000</v>
          </cell>
          <cell r="L584">
            <v>0</v>
          </cell>
          <cell r="M584">
            <v>0</v>
          </cell>
          <cell r="N584">
            <v>60000</v>
          </cell>
          <cell r="O584">
            <v>62000</v>
          </cell>
        </row>
        <row r="585">
          <cell r="A585" t="str">
            <v>290</v>
          </cell>
          <cell r="B585" t="str">
            <v>CONCRETE SA</v>
          </cell>
          <cell r="C585" t="str">
            <v>Golden Grove Concrete</v>
          </cell>
          <cell r="D585" t="str">
            <v>Golden Grove Rd</v>
          </cell>
          <cell r="E585" t="str">
            <v>Golden Grove</v>
          </cell>
          <cell r="F585" t="str">
            <v>5125</v>
          </cell>
          <cell r="G585" t="str">
            <v>South Australia</v>
          </cell>
          <cell r="H585" t="str">
            <v>Australia</v>
          </cell>
          <cell r="I585" t="str">
            <v>Not Applicable</v>
          </cell>
          <cell r="J585">
            <v>10000</v>
          </cell>
          <cell r="K585">
            <v>0</v>
          </cell>
          <cell r="L585">
            <v>300000</v>
          </cell>
          <cell r="M585">
            <v>0</v>
          </cell>
          <cell r="N585">
            <v>15000</v>
          </cell>
          <cell r="O585">
            <v>325000</v>
          </cell>
        </row>
        <row r="586">
          <cell r="A586" t="str">
            <v>290</v>
          </cell>
          <cell r="B586" t="str">
            <v>CONCRETE SA</v>
          </cell>
          <cell r="C586" t="str">
            <v>Head Office - CMG SA</v>
          </cell>
          <cell r="D586" t="str">
            <v>333 Marion Road</v>
          </cell>
          <cell r="E586" t="str">
            <v>Nth Plympton</v>
          </cell>
          <cell r="F586" t="str">
            <v>5038</v>
          </cell>
          <cell r="G586" t="str">
            <v>South Australia</v>
          </cell>
          <cell r="H586" t="str">
            <v>Australia</v>
          </cell>
          <cell r="I586" t="str">
            <v>Not Applicable</v>
          </cell>
          <cell r="J586">
            <v>0</v>
          </cell>
          <cell r="K586">
            <v>0</v>
          </cell>
          <cell r="L586">
            <v>0</v>
          </cell>
          <cell r="M586">
            <v>0</v>
          </cell>
          <cell r="N586">
            <v>0</v>
          </cell>
          <cell r="O586">
            <v>0</v>
          </cell>
        </row>
        <row r="587">
          <cell r="A587" t="str">
            <v>290</v>
          </cell>
          <cell r="B587" t="str">
            <v>CONCRETE SA</v>
          </cell>
          <cell r="C587" t="str">
            <v>Lobethal Concrete</v>
          </cell>
          <cell r="D587" t="str">
            <v>Miller Rd</v>
          </cell>
          <cell r="E587" t="str">
            <v>Lobethal</v>
          </cell>
          <cell r="F587" t="str">
            <v>5241</v>
          </cell>
          <cell r="G587" t="str">
            <v>South Australia</v>
          </cell>
          <cell r="H587" t="str">
            <v>Australia</v>
          </cell>
          <cell r="I587" t="str">
            <v>Not Applicable</v>
          </cell>
          <cell r="J587">
            <v>12000</v>
          </cell>
          <cell r="K587">
            <v>50000</v>
          </cell>
          <cell r="L587">
            <v>170000</v>
          </cell>
          <cell r="M587">
            <v>0</v>
          </cell>
          <cell r="N587">
            <v>91000</v>
          </cell>
          <cell r="O587">
            <v>323000</v>
          </cell>
        </row>
        <row r="588">
          <cell r="A588" t="str">
            <v>290</v>
          </cell>
          <cell r="B588" t="str">
            <v>CONCRETE SA</v>
          </cell>
          <cell r="C588" t="str">
            <v>Marino Concrete</v>
          </cell>
          <cell r="D588" t="str">
            <v>Ocean Blvd</v>
          </cell>
          <cell r="E588" t="str">
            <v>Seacliff</v>
          </cell>
          <cell r="F588" t="str">
            <v>5049</v>
          </cell>
          <cell r="G588" t="str">
            <v>South Australia</v>
          </cell>
          <cell r="H588" t="str">
            <v>Australia</v>
          </cell>
          <cell r="I588" t="str">
            <v>Not Applicable</v>
          </cell>
          <cell r="J588">
            <v>39000</v>
          </cell>
          <cell r="K588">
            <v>0</v>
          </cell>
          <cell r="L588">
            <v>850000</v>
          </cell>
          <cell r="M588">
            <v>0</v>
          </cell>
          <cell r="N588">
            <v>628000</v>
          </cell>
          <cell r="O588">
            <v>1517000</v>
          </cell>
        </row>
        <row r="589">
          <cell r="A589" t="str">
            <v>290</v>
          </cell>
          <cell r="B589" t="str">
            <v>CONCRETE SA</v>
          </cell>
          <cell r="C589" t="str">
            <v>Millicent Concrete</v>
          </cell>
          <cell r="D589" t="str">
            <v>Park Terrance</v>
          </cell>
          <cell r="E589" t="str">
            <v>Millicent</v>
          </cell>
          <cell r="F589" t="str">
            <v>5280</v>
          </cell>
          <cell r="G589" t="str">
            <v>South Australia</v>
          </cell>
          <cell r="H589" t="str">
            <v>Australia</v>
          </cell>
          <cell r="I589" t="str">
            <v>Not Applicable</v>
          </cell>
          <cell r="J589">
            <v>15000</v>
          </cell>
          <cell r="K589">
            <v>40000</v>
          </cell>
          <cell r="L589">
            <v>160000</v>
          </cell>
          <cell r="M589">
            <v>0</v>
          </cell>
          <cell r="N589">
            <v>200000</v>
          </cell>
          <cell r="O589">
            <v>415000</v>
          </cell>
        </row>
        <row r="590">
          <cell r="A590" t="str">
            <v>290</v>
          </cell>
          <cell r="B590" t="str">
            <v>CONCRETE SA</v>
          </cell>
          <cell r="C590" t="str">
            <v>Murray Bridge Concrete</v>
          </cell>
          <cell r="D590" t="str">
            <v>Rockgully Road</v>
          </cell>
          <cell r="E590" t="str">
            <v>Murray Bridge</v>
          </cell>
          <cell r="F590" t="str">
            <v>5253</v>
          </cell>
          <cell r="G590" t="str">
            <v>South Australia</v>
          </cell>
          <cell r="H590" t="str">
            <v>Australia</v>
          </cell>
          <cell r="I590" t="str">
            <v>Not Applicable</v>
          </cell>
          <cell r="J590">
            <v>16000</v>
          </cell>
          <cell r="K590">
            <v>100000</v>
          </cell>
          <cell r="L590">
            <v>350000</v>
          </cell>
          <cell r="M590">
            <v>0</v>
          </cell>
          <cell r="N590">
            <v>332000</v>
          </cell>
          <cell r="O590">
            <v>798000</v>
          </cell>
        </row>
        <row r="591">
          <cell r="A591" t="str">
            <v>290</v>
          </cell>
          <cell r="B591" t="str">
            <v>CONCRETE SA</v>
          </cell>
          <cell r="C591" t="str">
            <v>Noarlunga Concrete</v>
          </cell>
          <cell r="D591" t="str">
            <v>Seaford Road</v>
          </cell>
          <cell r="E591" t="str">
            <v>Noarlunga</v>
          </cell>
          <cell r="F591" t="str">
            <v>5168</v>
          </cell>
          <cell r="G591" t="str">
            <v>South Australia</v>
          </cell>
          <cell r="H591" t="str">
            <v>Australia</v>
          </cell>
          <cell r="I591" t="str">
            <v>Not Applicable</v>
          </cell>
          <cell r="J591">
            <v>23000</v>
          </cell>
          <cell r="K591">
            <v>50000</v>
          </cell>
          <cell r="L591">
            <v>500000</v>
          </cell>
          <cell r="M591">
            <v>0</v>
          </cell>
          <cell r="N591">
            <v>47000</v>
          </cell>
          <cell r="O591">
            <v>620000</v>
          </cell>
        </row>
        <row r="592">
          <cell r="A592" t="str">
            <v>290</v>
          </cell>
          <cell r="B592" t="str">
            <v>CONCRETE SA</v>
          </cell>
          <cell r="C592" t="str">
            <v>Verdun Concrete - CMG SA</v>
          </cell>
          <cell r="D592" t="str">
            <v>Princess Highway</v>
          </cell>
          <cell r="E592" t="str">
            <v>Verdun</v>
          </cell>
          <cell r="F592" t="str">
            <v>5245</v>
          </cell>
          <cell r="G592" t="str">
            <v>South Australia</v>
          </cell>
          <cell r="H592" t="str">
            <v>Australia</v>
          </cell>
          <cell r="I592" t="str">
            <v>Not Applicable</v>
          </cell>
          <cell r="J592">
            <v>15000</v>
          </cell>
          <cell r="K592">
            <v>50000</v>
          </cell>
          <cell r="L592">
            <v>350000</v>
          </cell>
          <cell r="M592">
            <v>0</v>
          </cell>
          <cell r="N592">
            <v>21000</v>
          </cell>
          <cell r="O592">
            <v>436000</v>
          </cell>
        </row>
        <row r="593">
          <cell r="A593" t="str">
            <v>290</v>
          </cell>
          <cell r="B593" t="str">
            <v>CONCRETE SA</v>
          </cell>
          <cell r="C593" t="str">
            <v>Whyalla Concrete</v>
          </cell>
          <cell r="D593" t="str">
            <v>Jessop Street</v>
          </cell>
          <cell r="E593" t="str">
            <v>Whyalla</v>
          </cell>
          <cell r="F593" t="str">
            <v>5600</v>
          </cell>
          <cell r="G593" t="str">
            <v>South Australia</v>
          </cell>
          <cell r="H593" t="str">
            <v>Australia</v>
          </cell>
          <cell r="I593" t="str">
            <v>Not Applicable</v>
          </cell>
          <cell r="J593">
            <v>23000</v>
          </cell>
          <cell r="K593">
            <v>100000</v>
          </cell>
          <cell r="L593">
            <v>380000</v>
          </cell>
          <cell r="M593">
            <v>0</v>
          </cell>
          <cell r="N593">
            <v>10000</v>
          </cell>
          <cell r="O593">
            <v>513000</v>
          </cell>
        </row>
        <row r="594">
          <cell r="A594" t="str">
            <v>290</v>
          </cell>
          <cell r="B594" t="str">
            <v>CONCRETE SA</v>
          </cell>
          <cell r="C594" t="str">
            <v>Wingfield Concrete</v>
          </cell>
          <cell r="D594" t="str">
            <v>Wingfield Road</v>
          </cell>
          <cell r="E594" t="str">
            <v>Wingfield</v>
          </cell>
          <cell r="F594" t="str">
            <v>5013</v>
          </cell>
          <cell r="G594" t="str">
            <v>South Australia</v>
          </cell>
          <cell r="H594" t="str">
            <v>Australia</v>
          </cell>
          <cell r="I594" t="str">
            <v>Not Applicable</v>
          </cell>
          <cell r="J594">
            <v>25000</v>
          </cell>
          <cell r="K594">
            <v>50000</v>
          </cell>
          <cell r="L594">
            <v>500000</v>
          </cell>
          <cell r="M594">
            <v>0</v>
          </cell>
          <cell r="N594">
            <v>200000</v>
          </cell>
          <cell r="O594">
            <v>775000</v>
          </cell>
        </row>
        <row r="595">
          <cell r="A595" t="str">
            <v>291</v>
          </cell>
          <cell r="B595" t="str">
            <v>QUARRIES SA</v>
          </cell>
          <cell r="C595" t="str">
            <v>Ceduna - Quarries SA</v>
          </cell>
          <cell r="D595" t="str">
            <v>PO Box 66</v>
          </cell>
          <cell r="E595" t="str">
            <v>Denial Bay</v>
          </cell>
          <cell r="F595" t="str">
            <v>5690</v>
          </cell>
          <cell r="G595" t="str">
            <v>South Australia</v>
          </cell>
          <cell r="H595" t="str">
            <v>Australia</v>
          </cell>
          <cell r="I595" t="str">
            <v>Not Applicable</v>
          </cell>
          <cell r="J595">
            <v>152000</v>
          </cell>
          <cell r="K595">
            <v>40000</v>
          </cell>
          <cell r="L595">
            <v>1000000</v>
          </cell>
          <cell r="M595">
            <v>50000</v>
          </cell>
          <cell r="N595">
            <v>72000</v>
          </cell>
          <cell r="O595">
            <v>1314000</v>
          </cell>
        </row>
        <row r="596">
          <cell r="A596" t="str">
            <v>291</v>
          </cell>
          <cell r="B596" t="str">
            <v>QUARRIES SA</v>
          </cell>
          <cell r="C596" t="str">
            <v>Gawler Quarries SA</v>
          </cell>
          <cell r="D596" t="str">
            <v>Allendale Road</v>
          </cell>
          <cell r="E596" t="str">
            <v>Gawler East</v>
          </cell>
          <cell r="F596" t="str">
            <v>5118</v>
          </cell>
          <cell r="G596" t="str">
            <v>South Australia</v>
          </cell>
          <cell r="H596" t="str">
            <v>Australia</v>
          </cell>
          <cell r="I596" t="str">
            <v>Not Applicable</v>
          </cell>
          <cell r="J596">
            <v>0</v>
          </cell>
          <cell r="K596">
            <v>25000</v>
          </cell>
          <cell r="L596">
            <v>0</v>
          </cell>
          <cell r="M596">
            <v>0</v>
          </cell>
          <cell r="N596">
            <v>0</v>
          </cell>
          <cell r="O596">
            <v>25000</v>
          </cell>
        </row>
        <row r="597">
          <cell r="A597" t="str">
            <v>291</v>
          </cell>
          <cell r="B597" t="str">
            <v>QUARRIES SA</v>
          </cell>
          <cell r="C597" t="str">
            <v>Kapunda - Quarries SA</v>
          </cell>
          <cell r="D597" t="str">
            <v>Gap Road</v>
          </cell>
          <cell r="E597" t="str">
            <v>Kapunda</v>
          </cell>
          <cell r="F597" t="str">
            <v>5373</v>
          </cell>
          <cell r="G597" t="str">
            <v>South Australia</v>
          </cell>
          <cell r="H597" t="str">
            <v>Australia</v>
          </cell>
          <cell r="I597" t="str">
            <v>Not Applicable</v>
          </cell>
          <cell r="J597">
            <v>241000</v>
          </cell>
          <cell r="K597">
            <v>40000</v>
          </cell>
          <cell r="L597">
            <v>1400000</v>
          </cell>
          <cell r="M597">
            <v>1250000</v>
          </cell>
          <cell r="N597">
            <v>288000</v>
          </cell>
          <cell r="O597">
            <v>3219000</v>
          </cell>
        </row>
        <row r="598">
          <cell r="A598" t="str">
            <v>291</v>
          </cell>
          <cell r="B598" t="str">
            <v>QUARRIES SA</v>
          </cell>
          <cell r="C598" t="str">
            <v>Linwood - Quarries SA</v>
          </cell>
          <cell r="D598" t="str">
            <v>Ocean Blvd</v>
          </cell>
          <cell r="E598" t="str">
            <v>Marion</v>
          </cell>
          <cell r="F598" t="str">
            <v>5049</v>
          </cell>
          <cell r="G598" t="str">
            <v>South Australia</v>
          </cell>
          <cell r="H598" t="str">
            <v>Australia</v>
          </cell>
          <cell r="I598" t="str">
            <v>Not Applicable</v>
          </cell>
          <cell r="J598">
            <v>612000</v>
          </cell>
          <cell r="K598">
            <v>200000</v>
          </cell>
          <cell r="L598">
            <v>15000000</v>
          </cell>
          <cell r="M598">
            <v>7125000</v>
          </cell>
          <cell r="N598">
            <v>5172000</v>
          </cell>
          <cell r="O598">
            <v>28109000</v>
          </cell>
        </row>
        <row r="599">
          <cell r="A599" t="str">
            <v>291</v>
          </cell>
          <cell r="B599" t="str">
            <v>QUARRIES SA</v>
          </cell>
          <cell r="C599" t="str">
            <v>Lobethal - Quarries SA</v>
          </cell>
          <cell r="D599" t="str">
            <v>Miller Road</v>
          </cell>
          <cell r="E599" t="str">
            <v>Lobethal</v>
          </cell>
          <cell r="F599" t="str">
            <v>5241</v>
          </cell>
          <cell r="G599" t="str">
            <v>South Australia</v>
          </cell>
          <cell r="H599" t="str">
            <v>Australia</v>
          </cell>
          <cell r="I599" t="str">
            <v>Not Applicable</v>
          </cell>
          <cell r="J599">
            <v>347000</v>
          </cell>
          <cell r="K599">
            <v>200000</v>
          </cell>
          <cell r="L599">
            <v>5000000</v>
          </cell>
          <cell r="M599">
            <v>2125000</v>
          </cell>
          <cell r="N599">
            <v>2940000</v>
          </cell>
          <cell r="O599">
            <v>10612000</v>
          </cell>
        </row>
        <row r="600">
          <cell r="A600" t="str">
            <v>291</v>
          </cell>
          <cell r="B600" t="str">
            <v>QUARRIES SA</v>
          </cell>
          <cell r="C600" t="str">
            <v>Mt McIntyre - Quarries SA</v>
          </cell>
          <cell r="D600" t="str">
            <v>Via Mt Burr</v>
          </cell>
          <cell r="E600" t="str">
            <v>Millicent</v>
          </cell>
          <cell r="F600" t="str">
            <v>5279</v>
          </cell>
          <cell r="G600" t="str">
            <v>South Australia</v>
          </cell>
          <cell r="H600" t="str">
            <v>Australia</v>
          </cell>
          <cell r="I600" t="str">
            <v>Not Applicable</v>
          </cell>
          <cell r="J600">
            <v>388000</v>
          </cell>
          <cell r="K600">
            <v>20000</v>
          </cell>
          <cell r="L600">
            <v>200000</v>
          </cell>
          <cell r="M600">
            <v>1080000</v>
          </cell>
          <cell r="N600">
            <v>60000</v>
          </cell>
          <cell r="O600">
            <v>1748000</v>
          </cell>
        </row>
        <row r="601">
          <cell r="A601" t="str">
            <v>291</v>
          </cell>
          <cell r="B601" t="str">
            <v>QUARRIES SA</v>
          </cell>
          <cell r="C601" t="str">
            <v>Murray Bridge - Quarries SA</v>
          </cell>
          <cell r="D601" t="str">
            <v>Rocky Gully Road</v>
          </cell>
          <cell r="E601" t="str">
            <v>Murray Bridge</v>
          </cell>
          <cell r="F601" t="str">
            <v>5253</v>
          </cell>
          <cell r="G601" t="str">
            <v>South Australia</v>
          </cell>
          <cell r="H601" t="str">
            <v>Australia</v>
          </cell>
          <cell r="I601" t="str">
            <v>Not Applicable</v>
          </cell>
          <cell r="J601">
            <v>237000</v>
          </cell>
          <cell r="K601">
            <v>100000</v>
          </cell>
          <cell r="L601">
            <v>2000000</v>
          </cell>
          <cell r="M601">
            <v>1530000</v>
          </cell>
          <cell r="N601">
            <v>1020000</v>
          </cell>
          <cell r="O601">
            <v>4887000</v>
          </cell>
        </row>
        <row r="602">
          <cell r="A602" t="str">
            <v>291</v>
          </cell>
          <cell r="B602" t="str">
            <v>QUARRIES SA</v>
          </cell>
          <cell r="C602" t="str">
            <v>Para Hills - Quarries SA</v>
          </cell>
          <cell r="D602" t="str">
            <v>Barker Rd</v>
          </cell>
          <cell r="E602" t="str">
            <v>Salisbury East</v>
          </cell>
          <cell r="F602" t="str">
            <v>5109</v>
          </cell>
          <cell r="G602" t="str">
            <v>South Australia</v>
          </cell>
          <cell r="H602" t="str">
            <v>Australia</v>
          </cell>
          <cell r="I602" t="str">
            <v>Not Applicable</v>
          </cell>
          <cell r="J602">
            <v>284000</v>
          </cell>
          <cell r="K602">
            <v>200000</v>
          </cell>
          <cell r="L602">
            <v>6000000</v>
          </cell>
          <cell r="M602">
            <v>6465000</v>
          </cell>
          <cell r="N602">
            <v>3396000</v>
          </cell>
          <cell r="O602">
            <v>16345000</v>
          </cell>
        </row>
        <row r="603">
          <cell r="A603" t="str">
            <v>291</v>
          </cell>
          <cell r="B603" t="str">
            <v>QUARRIES SA</v>
          </cell>
          <cell r="C603" t="str">
            <v>Reynella - Quarries SA</v>
          </cell>
          <cell r="D603" t="str">
            <v>Moore Rd</v>
          </cell>
          <cell r="E603" t="str">
            <v>Reynella</v>
          </cell>
          <cell r="F603" t="str">
            <v>5161</v>
          </cell>
          <cell r="G603" t="str">
            <v>South Australia</v>
          </cell>
          <cell r="H603" t="str">
            <v>Australia</v>
          </cell>
          <cell r="I603" t="str">
            <v>Not Applicable</v>
          </cell>
          <cell r="J603">
            <v>13000</v>
          </cell>
          <cell r="K603">
            <v>60000</v>
          </cell>
          <cell r="L603">
            <v>500000</v>
          </cell>
          <cell r="M603">
            <v>390000</v>
          </cell>
          <cell r="N603">
            <v>48000</v>
          </cell>
          <cell r="O603">
            <v>1011000</v>
          </cell>
        </row>
        <row r="604">
          <cell r="A604" t="str">
            <v>291</v>
          </cell>
          <cell r="B604" t="str">
            <v>QUARRIES SA</v>
          </cell>
          <cell r="C604" t="str">
            <v>Salisbury - Quarries SA</v>
          </cell>
          <cell r="D604" t="str">
            <v>Blacktop Road</v>
          </cell>
          <cell r="E604" t="str">
            <v>Hillbank</v>
          </cell>
          <cell r="F604" t="str">
            <v>5112</v>
          </cell>
          <cell r="G604" t="str">
            <v>South Australia</v>
          </cell>
          <cell r="H604" t="str">
            <v>Australia</v>
          </cell>
          <cell r="I604" t="str">
            <v>Not Applicable</v>
          </cell>
          <cell r="J604">
            <v>106000</v>
          </cell>
          <cell r="K604">
            <v>60000</v>
          </cell>
          <cell r="L604">
            <v>4000000</v>
          </cell>
          <cell r="M604">
            <v>3690000</v>
          </cell>
          <cell r="N604">
            <v>1740000</v>
          </cell>
          <cell r="O604">
            <v>9596000</v>
          </cell>
        </row>
        <row r="605">
          <cell r="A605" t="str">
            <v>291</v>
          </cell>
          <cell r="B605" t="str">
            <v>QUARRIES SA</v>
          </cell>
          <cell r="C605" t="str">
            <v>Station Place - Admin SA</v>
          </cell>
          <cell r="D605" t="str">
            <v>1 Station Place</v>
          </cell>
          <cell r="E605" t="str">
            <v>Hindmarsh</v>
          </cell>
          <cell r="F605" t="str">
            <v>5007</v>
          </cell>
          <cell r="G605" t="str">
            <v>South Australia</v>
          </cell>
          <cell r="H605" t="str">
            <v>Australia</v>
          </cell>
          <cell r="I605" t="str">
            <v>Not Applicable</v>
          </cell>
          <cell r="J605">
            <v>0</v>
          </cell>
          <cell r="K605">
            <v>2500000</v>
          </cell>
          <cell r="L605">
            <v>400000</v>
          </cell>
          <cell r="M605">
            <v>0</v>
          </cell>
          <cell r="N605">
            <v>100000</v>
          </cell>
          <cell r="O605">
            <v>3000000</v>
          </cell>
        </row>
        <row r="606">
          <cell r="A606" t="str">
            <v>291</v>
          </cell>
          <cell r="B606" t="str">
            <v>QUARRIES SA</v>
          </cell>
          <cell r="C606" t="str">
            <v>Stirling North - Quarries SA</v>
          </cell>
          <cell r="D606" t="str">
            <v>Quarry Road</v>
          </cell>
          <cell r="E606" t="str">
            <v>Stirling North</v>
          </cell>
          <cell r="F606" t="str">
            <v>5710</v>
          </cell>
          <cell r="G606" t="str">
            <v>South Australia</v>
          </cell>
          <cell r="H606" t="str">
            <v>Australia</v>
          </cell>
          <cell r="I606" t="str">
            <v>Not Applicable</v>
          </cell>
          <cell r="J606">
            <v>150000</v>
          </cell>
          <cell r="K606">
            <v>40000</v>
          </cell>
          <cell r="L606">
            <v>500000</v>
          </cell>
          <cell r="M606">
            <v>1080000</v>
          </cell>
          <cell r="N606">
            <v>408000</v>
          </cell>
          <cell r="O606">
            <v>2178000</v>
          </cell>
        </row>
        <row r="607">
          <cell r="A607" t="str">
            <v>291</v>
          </cell>
          <cell r="B607" t="str">
            <v>QUARRIES SA</v>
          </cell>
          <cell r="C607" t="str">
            <v>Stonyfell - Quarries SA</v>
          </cell>
          <cell r="D607" t="str">
            <v>Stonyfell Road</v>
          </cell>
          <cell r="E607" t="str">
            <v>Adelaide</v>
          </cell>
          <cell r="F607" t="str">
            <v>5066</v>
          </cell>
          <cell r="G607" t="str">
            <v>South Australia</v>
          </cell>
          <cell r="H607" t="str">
            <v>Australia</v>
          </cell>
          <cell r="I607" t="str">
            <v>Not Applicable</v>
          </cell>
          <cell r="J607">
            <v>136000</v>
          </cell>
          <cell r="K607">
            <v>2000000</v>
          </cell>
          <cell r="L607">
            <v>9000000</v>
          </cell>
          <cell r="M607">
            <v>2975000</v>
          </cell>
          <cell r="N607">
            <v>2520000</v>
          </cell>
          <cell r="O607">
            <v>16631000</v>
          </cell>
        </row>
        <row r="608">
          <cell r="A608" t="str">
            <v>291</v>
          </cell>
          <cell r="B608" t="str">
            <v>QUARRIES SA</v>
          </cell>
          <cell r="C608" t="str">
            <v>Whyalla - Quarries SA</v>
          </cell>
          <cell r="D608" t="str">
            <v>Iorn Knob Road</v>
          </cell>
          <cell r="E608" t="str">
            <v>Whyalla</v>
          </cell>
          <cell r="F608" t="str">
            <v>5600</v>
          </cell>
          <cell r="G608" t="str">
            <v>South Australia</v>
          </cell>
          <cell r="H608" t="str">
            <v>Australia</v>
          </cell>
          <cell r="I608" t="str">
            <v>Not Applicable</v>
          </cell>
          <cell r="J608">
            <v>152000</v>
          </cell>
          <cell r="K608">
            <v>50000</v>
          </cell>
          <cell r="L608">
            <v>1500000</v>
          </cell>
          <cell r="M608">
            <v>1380000</v>
          </cell>
          <cell r="N608">
            <v>912000</v>
          </cell>
          <cell r="O608">
            <v>3994000</v>
          </cell>
        </row>
        <row r="609">
          <cell r="A609" t="str">
            <v>294</v>
          </cell>
          <cell r="B609" t="str">
            <v>CONCRETE NT</v>
          </cell>
          <cell r="C609" t="str">
            <v>Darwin Concrete</v>
          </cell>
          <cell r="D609" t="str">
            <v>Bombing Road</v>
          </cell>
          <cell r="E609" t="str">
            <v>Winnellie</v>
          </cell>
          <cell r="F609" t="str">
            <v>0821</v>
          </cell>
          <cell r="G609" t="str">
            <v>Northern Territory</v>
          </cell>
          <cell r="H609" t="str">
            <v>Australia</v>
          </cell>
          <cell r="I609" t="str">
            <v>Not Applicable</v>
          </cell>
          <cell r="J609">
            <v>0</v>
          </cell>
          <cell r="K609">
            <v>0</v>
          </cell>
          <cell r="L609">
            <v>0</v>
          </cell>
          <cell r="M609">
            <v>0</v>
          </cell>
          <cell r="N609">
            <v>0</v>
          </cell>
          <cell r="O609">
            <v>0</v>
          </cell>
        </row>
        <row r="610">
          <cell r="A610" t="str">
            <v>294</v>
          </cell>
          <cell r="B610" t="str">
            <v>CONCRETE NT</v>
          </cell>
          <cell r="C610" t="str">
            <v>Palmerston - CMG SA</v>
          </cell>
          <cell r="D610" t="str">
            <v>Lot 2201, Bombing Road</v>
          </cell>
          <cell r="E610" t="str">
            <v>Winnellie</v>
          </cell>
          <cell r="F610" t="str">
            <v>0821</v>
          </cell>
          <cell r="G610" t="str">
            <v>Northern Territory</v>
          </cell>
          <cell r="H610" t="str">
            <v>Australia</v>
          </cell>
          <cell r="I610" t="str">
            <v>Not Applicable</v>
          </cell>
          <cell r="J610">
            <v>28000</v>
          </cell>
          <cell r="K610">
            <v>75000</v>
          </cell>
          <cell r="L610">
            <v>250000</v>
          </cell>
          <cell r="M610">
            <v>130000</v>
          </cell>
          <cell r="N610">
            <v>800000</v>
          </cell>
          <cell r="O610">
            <v>1283000</v>
          </cell>
        </row>
        <row r="611">
          <cell r="A611" t="str">
            <v>295</v>
          </cell>
          <cell r="B611" t="str">
            <v>QUARRIES NT</v>
          </cell>
          <cell r="C611" t="str">
            <v>Howard Springs Quarries NT</v>
          </cell>
          <cell r="D611" t="str">
            <v>Gun Point Road</v>
          </cell>
          <cell r="E611" t="str">
            <v>Howard Springs</v>
          </cell>
          <cell r="F611" t="str">
            <v>0835</v>
          </cell>
          <cell r="G611" t="str">
            <v>Northern Territory</v>
          </cell>
          <cell r="H611" t="str">
            <v>Australia</v>
          </cell>
          <cell r="I611" t="str">
            <v>Not Applicable</v>
          </cell>
          <cell r="J611">
            <v>400000</v>
          </cell>
          <cell r="K611">
            <v>100000</v>
          </cell>
          <cell r="L611">
            <v>900000</v>
          </cell>
          <cell r="M611">
            <v>500000</v>
          </cell>
          <cell r="N611">
            <v>445000</v>
          </cell>
          <cell r="O611">
            <v>2345000</v>
          </cell>
        </row>
        <row r="612">
          <cell r="A612" t="str">
            <v>295</v>
          </cell>
          <cell r="B612" t="str">
            <v>QUARRIES NT</v>
          </cell>
          <cell r="C612" t="str">
            <v>Mt Bundey - Quarries NT</v>
          </cell>
          <cell r="D612" t="str">
            <v>Arnhem Highway</v>
          </cell>
          <cell r="E612" t="str">
            <v>Mt Bundey</v>
          </cell>
          <cell r="F612" t="str">
            <v>0845</v>
          </cell>
          <cell r="G612" t="str">
            <v>Northern Territory</v>
          </cell>
          <cell r="H612" t="str">
            <v>Australia</v>
          </cell>
          <cell r="I612" t="str">
            <v>Not Applicable</v>
          </cell>
          <cell r="J612">
            <v>400000</v>
          </cell>
          <cell r="K612">
            <v>80000</v>
          </cell>
          <cell r="L612">
            <v>1000000</v>
          </cell>
          <cell r="M612">
            <v>250000</v>
          </cell>
          <cell r="N612">
            <v>400000</v>
          </cell>
          <cell r="O612">
            <v>2130000</v>
          </cell>
        </row>
        <row r="613">
          <cell r="A613" t="str">
            <v>295</v>
          </cell>
          <cell r="B613" t="str">
            <v>QUARRIES NT</v>
          </cell>
          <cell r="C613" t="str">
            <v>Yarrawonga - Quarries NT</v>
          </cell>
          <cell r="D613" t="str">
            <v>Thorngate Road</v>
          </cell>
          <cell r="E613" t="str">
            <v>Yarrawonga</v>
          </cell>
          <cell r="F613" t="str">
            <v>0830</v>
          </cell>
          <cell r="G613" t="str">
            <v>Northern Territory</v>
          </cell>
          <cell r="H613" t="str">
            <v>Australia</v>
          </cell>
          <cell r="I613" t="str">
            <v>Not Applicable</v>
          </cell>
          <cell r="J613">
            <v>1300000</v>
          </cell>
          <cell r="K613">
            <v>50000</v>
          </cell>
          <cell r="L613">
            <v>1000000</v>
          </cell>
          <cell r="M613">
            <v>250000</v>
          </cell>
          <cell r="N613">
            <v>200000</v>
          </cell>
          <cell r="O613">
            <v>2800000</v>
          </cell>
        </row>
        <row r="614">
          <cell r="A614" t="str">
            <v>296</v>
          </cell>
          <cell r="B614" t="str">
            <v>CONTRACT CRUSHING</v>
          </cell>
          <cell r="C614" t="str">
            <v>Contract Crushing  - WASANT Region</v>
          </cell>
          <cell r="G614" t="str">
            <v>Western Australia</v>
          </cell>
          <cell r="H614" t="str">
            <v>Australia</v>
          </cell>
          <cell r="I614" t="str">
            <v>Not Applicable</v>
          </cell>
          <cell r="J614">
            <v>500000</v>
          </cell>
          <cell r="K614">
            <v>0</v>
          </cell>
          <cell r="L614">
            <v>6000000</v>
          </cell>
          <cell r="M614">
            <v>6600000</v>
          </cell>
          <cell r="N614">
            <v>4000000</v>
          </cell>
          <cell r="O614">
            <v>17100000</v>
          </cell>
        </row>
        <row r="615">
          <cell r="A615" t="str">
            <v>296</v>
          </cell>
          <cell r="B615" t="str">
            <v>CONTRACT CRUSHING</v>
          </cell>
          <cell r="C615" t="str">
            <v>Contract Crushing - NSW Region</v>
          </cell>
          <cell r="G615" t="str">
            <v>Overseas Operations</v>
          </cell>
          <cell r="H615" t="str">
            <v>Australia</v>
          </cell>
          <cell r="I615" t="str">
            <v>Not Applicable</v>
          </cell>
          <cell r="J615">
            <v>500000</v>
          </cell>
          <cell r="K615">
            <v>0</v>
          </cell>
          <cell r="L615">
            <v>6000000</v>
          </cell>
          <cell r="M615">
            <v>3200000</v>
          </cell>
          <cell r="N615">
            <v>1800000</v>
          </cell>
          <cell r="O615">
            <v>11500000</v>
          </cell>
        </row>
        <row r="616">
          <cell r="A616" t="str">
            <v>296</v>
          </cell>
          <cell r="B616" t="str">
            <v>CONTRACT CRUSHING</v>
          </cell>
          <cell r="C616" t="str">
            <v>Contract Crushing - QLD Region</v>
          </cell>
          <cell r="G616" t="str">
            <v>Queensland</v>
          </cell>
          <cell r="H616" t="str">
            <v>Australia</v>
          </cell>
          <cell r="I616" t="str">
            <v>Not Applicable</v>
          </cell>
          <cell r="J616">
            <v>500000</v>
          </cell>
          <cell r="K616">
            <v>0</v>
          </cell>
          <cell r="L616">
            <v>6000000</v>
          </cell>
          <cell r="M616">
            <v>3200000</v>
          </cell>
          <cell r="N616">
            <v>4000000</v>
          </cell>
          <cell r="O616">
            <v>13700000</v>
          </cell>
        </row>
        <row r="617">
          <cell r="A617" t="str">
            <v>296</v>
          </cell>
          <cell r="B617" t="str">
            <v>CONTRACT CRUSHING</v>
          </cell>
          <cell r="C617" t="str">
            <v>Contract Crushing - VIC/TAS Region</v>
          </cell>
          <cell r="G617" t="str">
            <v>Overseas Operations</v>
          </cell>
          <cell r="H617" t="str">
            <v>Australia</v>
          </cell>
          <cell r="I617" t="str">
            <v>Not Applicable</v>
          </cell>
          <cell r="J617">
            <v>100000</v>
          </cell>
          <cell r="K617">
            <v>0</v>
          </cell>
          <cell r="L617">
            <v>1000000</v>
          </cell>
          <cell r="M617">
            <v>1000000</v>
          </cell>
          <cell r="N617">
            <v>1200000</v>
          </cell>
          <cell r="O617">
            <v>3300000</v>
          </cell>
        </row>
        <row r="618">
          <cell r="A618" t="str">
            <v>296</v>
          </cell>
          <cell r="B618" t="str">
            <v>CONTRACT CRUSHING</v>
          </cell>
          <cell r="C618" t="str">
            <v>Locco Track Mobile Plant</v>
          </cell>
          <cell r="G618" t="str">
            <v>Queensland</v>
          </cell>
          <cell r="H618" t="str">
            <v>Australia</v>
          </cell>
          <cell r="I618" t="str">
            <v>Not Applicable</v>
          </cell>
          <cell r="J618">
            <v>0</v>
          </cell>
          <cell r="K618">
            <v>0</v>
          </cell>
          <cell r="L618">
            <v>0</v>
          </cell>
          <cell r="M618">
            <v>0</v>
          </cell>
          <cell r="N618">
            <v>0</v>
          </cell>
          <cell r="O618">
            <v>0</v>
          </cell>
        </row>
        <row r="619">
          <cell r="A619" t="str">
            <v>297</v>
          </cell>
          <cell r="B619" t="str">
            <v>TRANSPORT SA/NT</v>
          </cell>
          <cell r="C619" t="str">
            <v>Boral Transport - Moringee Ave</v>
          </cell>
          <cell r="D619" t="str">
            <v>Moringee Ave</v>
          </cell>
          <cell r="E619" t="str">
            <v>Adelaide</v>
          </cell>
          <cell r="F619" t="str">
            <v>5038</v>
          </cell>
          <cell r="G619" t="str">
            <v>South Australia</v>
          </cell>
          <cell r="H619" t="str">
            <v>Australia</v>
          </cell>
          <cell r="I619" t="str">
            <v>Not Applicable</v>
          </cell>
          <cell r="J619">
            <v>0</v>
          </cell>
          <cell r="K619">
            <v>0</v>
          </cell>
          <cell r="L619">
            <v>0</v>
          </cell>
          <cell r="M619">
            <v>0</v>
          </cell>
          <cell r="N619">
            <v>0</v>
          </cell>
          <cell r="O619">
            <v>0</v>
          </cell>
        </row>
        <row r="620">
          <cell r="A620" t="str">
            <v>297</v>
          </cell>
          <cell r="B620" t="str">
            <v>TRANSPORT SA/NT</v>
          </cell>
          <cell r="C620" t="str">
            <v>Boral Transport - SA</v>
          </cell>
          <cell r="D620" t="str">
            <v>69 Mooringe Avenue</v>
          </cell>
          <cell r="E620" t="str">
            <v>North Plympton</v>
          </cell>
          <cell r="F620" t="str">
            <v>5037</v>
          </cell>
          <cell r="G620" t="str">
            <v>South Australia</v>
          </cell>
          <cell r="H620" t="str">
            <v>Australia</v>
          </cell>
          <cell r="I620" t="str">
            <v>Not Applicable</v>
          </cell>
          <cell r="J620">
            <v>10000</v>
          </cell>
          <cell r="K620">
            <v>0</v>
          </cell>
          <cell r="L620">
            <v>1800000</v>
          </cell>
          <cell r="M620">
            <v>0</v>
          </cell>
          <cell r="N620">
            <v>0</v>
          </cell>
          <cell r="O620">
            <v>1810000</v>
          </cell>
        </row>
        <row r="621">
          <cell r="A621" t="str">
            <v>298</v>
          </cell>
          <cell r="B621" t="str">
            <v>BITUPAVE LTD</v>
          </cell>
          <cell r="C621" t="str">
            <v>Alstonville - Asphalt</v>
          </cell>
          <cell r="D621" t="str">
            <v>Gap Road</v>
          </cell>
          <cell r="E621" t="str">
            <v>Alstonville</v>
          </cell>
          <cell r="F621" t="str">
            <v>2477</v>
          </cell>
          <cell r="G621" t="str">
            <v>New South Wales</v>
          </cell>
          <cell r="H621" t="str">
            <v>Australia</v>
          </cell>
          <cell r="I621" t="str">
            <v>Not Applicable</v>
          </cell>
          <cell r="J621">
            <v>70000</v>
          </cell>
          <cell r="K621">
            <v>80000</v>
          </cell>
          <cell r="L621">
            <v>1600000</v>
          </cell>
          <cell r="M621">
            <v>10000</v>
          </cell>
          <cell r="N621">
            <v>50000</v>
          </cell>
          <cell r="O621">
            <v>1810000</v>
          </cell>
        </row>
        <row r="622">
          <cell r="A622" t="str">
            <v>298</v>
          </cell>
          <cell r="B622" t="str">
            <v>BITUPAVE LTD</v>
          </cell>
          <cell r="C622" t="str">
            <v>Blackhill - Asphalt</v>
          </cell>
          <cell r="D622" t="str">
            <v>Leneghans Drive</v>
          </cell>
          <cell r="E622" t="str">
            <v>Blackhill</v>
          </cell>
          <cell r="F622" t="str">
            <v>2322</v>
          </cell>
          <cell r="G622" t="str">
            <v>New South Wales</v>
          </cell>
          <cell r="H622" t="str">
            <v>Australia</v>
          </cell>
          <cell r="I622" t="str">
            <v>Not Applicable</v>
          </cell>
          <cell r="J622">
            <v>200000</v>
          </cell>
          <cell r="K622">
            <v>100000</v>
          </cell>
          <cell r="L622">
            <v>2000000</v>
          </cell>
          <cell r="M622">
            <v>0</v>
          </cell>
          <cell r="N622">
            <v>0</v>
          </cell>
          <cell r="O622">
            <v>2300000</v>
          </cell>
        </row>
        <row r="623">
          <cell r="A623" t="str">
            <v>298</v>
          </cell>
          <cell r="B623" t="str">
            <v>BITUPAVE LTD</v>
          </cell>
          <cell r="C623" t="str">
            <v>Canberra - Asphalt</v>
          </cell>
          <cell r="D623" t="str">
            <v>Mugga Lake</v>
          </cell>
          <cell r="E623" t="str">
            <v>Manuka</v>
          </cell>
          <cell r="F623" t="str">
            <v>2603</v>
          </cell>
          <cell r="G623" t="str">
            <v>Australian Capital Territory</v>
          </cell>
          <cell r="H623" t="str">
            <v>Australia</v>
          </cell>
          <cell r="I623" t="str">
            <v>Not Applicable</v>
          </cell>
          <cell r="J623">
            <v>31000</v>
          </cell>
          <cell r="K623">
            <v>41000</v>
          </cell>
          <cell r="L623">
            <v>1500000</v>
          </cell>
          <cell r="M623">
            <v>0</v>
          </cell>
          <cell r="N623">
            <v>0</v>
          </cell>
          <cell r="O623">
            <v>1572000</v>
          </cell>
        </row>
        <row r="624">
          <cell r="A624" t="str">
            <v>298</v>
          </cell>
          <cell r="B624" t="str">
            <v>BITUPAVE LTD</v>
          </cell>
          <cell r="C624" t="str">
            <v>Carrington - Asphalt</v>
          </cell>
          <cell r="F624" t="str">
            <v>2294</v>
          </cell>
          <cell r="G624" t="str">
            <v>New South Wales</v>
          </cell>
          <cell r="H624" t="str">
            <v>Australia</v>
          </cell>
          <cell r="I624" t="str">
            <v>Not Applicable</v>
          </cell>
          <cell r="J624">
            <v>45000</v>
          </cell>
          <cell r="K624">
            <v>100000</v>
          </cell>
          <cell r="L624">
            <v>2000000</v>
          </cell>
          <cell r="M624">
            <v>0</v>
          </cell>
          <cell r="N624">
            <v>0</v>
          </cell>
          <cell r="O624">
            <v>2145000</v>
          </cell>
        </row>
        <row r="625">
          <cell r="A625" t="str">
            <v>298</v>
          </cell>
          <cell r="B625" t="str">
            <v>BITUPAVE LTD</v>
          </cell>
          <cell r="C625" t="str">
            <v>Coffs Harbour - Asphalt</v>
          </cell>
          <cell r="D625" t="str">
            <v>O'Keefe Drive</v>
          </cell>
          <cell r="E625" t="str">
            <v>Coffs Harbour</v>
          </cell>
          <cell r="F625" t="str">
            <v>2450</v>
          </cell>
          <cell r="G625" t="str">
            <v>New South Wales</v>
          </cell>
          <cell r="H625" t="str">
            <v>Australia</v>
          </cell>
          <cell r="I625" t="str">
            <v>Not Applicable</v>
          </cell>
          <cell r="J625">
            <v>70000</v>
          </cell>
          <cell r="K625">
            <v>80000</v>
          </cell>
          <cell r="L625">
            <v>800000</v>
          </cell>
          <cell r="M625">
            <v>10000</v>
          </cell>
          <cell r="N625">
            <v>50000</v>
          </cell>
          <cell r="O625">
            <v>1010000</v>
          </cell>
        </row>
        <row r="626">
          <cell r="A626" t="str">
            <v>298</v>
          </cell>
          <cell r="B626" t="str">
            <v>BITUPAVE LTD</v>
          </cell>
          <cell r="C626" t="str">
            <v>Dubbo - Asphalt</v>
          </cell>
          <cell r="E626" t="str">
            <v>Talbragar Via Dubbo</v>
          </cell>
          <cell r="F626" t="str">
            <v>2839</v>
          </cell>
          <cell r="G626" t="str">
            <v>New South Wales</v>
          </cell>
          <cell r="H626" t="str">
            <v>Australia</v>
          </cell>
          <cell r="I626" t="str">
            <v>Not Applicable</v>
          </cell>
          <cell r="J626">
            <v>68000</v>
          </cell>
          <cell r="K626">
            <v>86000</v>
          </cell>
          <cell r="L626">
            <v>1500000</v>
          </cell>
          <cell r="M626">
            <v>0</v>
          </cell>
          <cell r="N626">
            <v>0</v>
          </cell>
          <cell r="O626">
            <v>1654000</v>
          </cell>
        </row>
        <row r="627">
          <cell r="A627" t="str">
            <v>298</v>
          </cell>
          <cell r="B627" t="str">
            <v>BITUPAVE LTD</v>
          </cell>
          <cell r="C627" t="str">
            <v>Emulsions - Asphalt</v>
          </cell>
          <cell r="D627" t="str">
            <v>Greystanes Road</v>
          </cell>
          <cell r="E627" t="str">
            <v>Greystanes</v>
          </cell>
          <cell r="F627" t="str">
            <v>2145</v>
          </cell>
          <cell r="G627" t="str">
            <v>New South Wales</v>
          </cell>
          <cell r="H627" t="str">
            <v>Australia</v>
          </cell>
          <cell r="I627" t="str">
            <v>Not Applicable</v>
          </cell>
          <cell r="J627">
            <v>0</v>
          </cell>
          <cell r="K627">
            <v>0</v>
          </cell>
          <cell r="L627">
            <v>0</v>
          </cell>
          <cell r="M627">
            <v>0</v>
          </cell>
          <cell r="N627">
            <v>0</v>
          </cell>
          <cell r="O627">
            <v>0</v>
          </cell>
        </row>
        <row r="628">
          <cell r="A628" t="str">
            <v>298</v>
          </cell>
          <cell r="B628" t="str">
            <v>BITUPAVE LTD</v>
          </cell>
          <cell r="C628" t="str">
            <v>Enfield - Asphalt</v>
          </cell>
          <cell r="D628" t="str">
            <v>1-5 Norfolk Road</v>
          </cell>
          <cell r="E628" t="str">
            <v>Chullora</v>
          </cell>
          <cell r="F628" t="str">
            <v>2136</v>
          </cell>
          <cell r="G628" t="str">
            <v>New South Wales</v>
          </cell>
          <cell r="H628" t="str">
            <v>Australia</v>
          </cell>
          <cell r="I628" t="str">
            <v>Not Applicable</v>
          </cell>
          <cell r="J628">
            <v>147000</v>
          </cell>
          <cell r="K628">
            <v>76000</v>
          </cell>
          <cell r="L628">
            <v>3000000</v>
          </cell>
          <cell r="M628">
            <v>0</v>
          </cell>
          <cell r="N628">
            <v>2218000</v>
          </cell>
          <cell r="O628">
            <v>5441000</v>
          </cell>
        </row>
        <row r="629">
          <cell r="A629" t="str">
            <v>298</v>
          </cell>
          <cell r="B629" t="str">
            <v>BITUPAVE LTD</v>
          </cell>
          <cell r="C629" t="str">
            <v>Gosford - Asphalt</v>
          </cell>
          <cell r="D629" t="str">
            <v>Lot 1, Comserv Close</v>
          </cell>
          <cell r="E629" t="str">
            <v>West Gosford</v>
          </cell>
          <cell r="F629" t="str">
            <v>2250</v>
          </cell>
          <cell r="G629" t="str">
            <v>New South Wales</v>
          </cell>
          <cell r="H629" t="str">
            <v>Australia</v>
          </cell>
          <cell r="I629" t="str">
            <v>Not Applicable</v>
          </cell>
          <cell r="J629">
            <v>40000</v>
          </cell>
          <cell r="K629">
            <v>60000</v>
          </cell>
          <cell r="L629">
            <v>1000000</v>
          </cell>
          <cell r="M629">
            <v>0</v>
          </cell>
          <cell r="N629">
            <v>0</v>
          </cell>
          <cell r="O629">
            <v>1100000</v>
          </cell>
        </row>
        <row r="630">
          <cell r="A630" t="str">
            <v>298</v>
          </cell>
          <cell r="B630" t="str">
            <v>BITUPAVE LTD</v>
          </cell>
          <cell r="C630" t="str">
            <v>Lismore - Asphalt</v>
          </cell>
          <cell r="D630" t="str">
            <v>Engine Street</v>
          </cell>
          <cell r="E630" t="str">
            <v>Lismore</v>
          </cell>
          <cell r="F630" t="str">
            <v>2480</v>
          </cell>
          <cell r="G630" t="str">
            <v>New South Wales</v>
          </cell>
          <cell r="H630" t="str">
            <v>Australia</v>
          </cell>
          <cell r="I630" t="str">
            <v>Not Applicable</v>
          </cell>
          <cell r="J630">
            <v>80000</v>
          </cell>
          <cell r="K630">
            <v>50000</v>
          </cell>
          <cell r="L630">
            <v>500000</v>
          </cell>
          <cell r="M630">
            <v>10000</v>
          </cell>
          <cell r="N630">
            <v>50000</v>
          </cell>
          <cell r="O630">
            <v>690000</v>
          </cell>
        </row>
        <row r="631">
          <cell r="A631" t="str">
            <v>298</v>
          </cell>
          <cell r="B631" t="str">
            <v>BITUPAVE LTD</v>
          </cell>
          <cell r="C631" t="str">
            <v>Nowra - Asphalt NSW</v>
          </cell>
          <cell r="D631" t="str">
            <v>Lot 30 Norfolk Street</v>
          </cell>
          <cell r="E631" t="str">
            <v>South Nowra</v>
          </cell>
          <cell r="F631" t="str">
            <v>2541</v>
          </cell>
          <cell r="G631" t="str">
            <v>New South Wales</v>
          </cell>
          <cell r="H631" t="str">
            <v>Australia</v>
          </cell>
          <cell r="I631" t="str">
            <v>Not Applicable</v>
          </cell>
          <cell r="J631">
            <v>26000</v>
          </cell>
          <cell r="K631">
            <v>22000</v>
          </cell>
          <cell r="L631">
            <v>1500000</v>
          </cell>
          <cell r="M631">
            <v>0</v>
          </cell>
          <cell r="N631">
            <v>0</v>
          </cell>
          <cell r="O631">
            <v>1548000</v>
          </cell>
        </row>
        <row r="632">
          <cell r="A632" t="str">
            <v>298</v>
          </cell>
          <cell r="B632" t="str">
            <v>BITUPAVE LTD</v>
          </cell>
          <cell r="C632" t="str">
            <v>Orange - Asphalt</v>
          </cell>
          <cell r="D632" t="str">
            <v>Phillip Street</v>
          </cell>
          <cell r="E632" t="str">
            <v>Orange</v>
          </cell>
          <cell r="F632" t="str">
            <v>2800</v>
          </cell>
          <cell r="G632" t="str">
            <v>New South Wales</v>
          </cell>
          <cell r="H632" t="str">
            <v>Australia</v>
          </cell>
          <cell r="I632" t="str">
            <v>Not Applicable</v>
          </cell>
          <cell r="J632">
            <v>16000</v>
          </cell>
          <cell r="K632">
            <v>27000</v>
          </cell>
          <cell r="L632">
            <v>1200000</v>
          </cell>
          <cell r="M632">
            <v>0</v>
          </cell>
          <cell r="N632">
            <v>0</v>
          </cell>
          <cell r="O632">
            <v>1243000</v>
          </cell>
        </row>
        <row r="633">
          <cell r="A633" t="str">
            <v>298</v>
          </cell>
          <cell r="B633" t="str">
            <v>BITUPAVE LTD</v>
          </cell>
          <cell r="C633" t="str">
            <v>Port Kembla - Asphalt</v>
          </cell>
          <cell r="D633" t="str">
            <v>AIS Springhill Road</v>
          </cell>
          <cell r="E633" t="str">
            <v>Port Kembla</v>
          </cell>
          <cell r="F633" t="str">
            <v>2505</v>
          </cell>
          <cell r="G633" t="str">
            <v>New South Wales</v>
          </cell>
          <cell r="H633" t="str">
            <v>Australia</v>
          </cell>
          <cell r="I633" t="str">
            <v>Not Applicable</v>
          </cell>
          <cell r="J633">
            <v>63000</v>
          </cell>
          <cell r="K633">
            <v>156000</v>
          </cell>
          <cell r="L633">
            <v>2000000</v>
          </cell>
          <cell r="M633">
            <v>0</v>
          </cell>
          <cell r="N633">
            <v>2217000</v>
          </cell>
          <cell r="O633">
            <v>4436000</v>
          </cell>
        </row>
        <row r="634">
          <cell r="A634" t="str">
            <v>298</v>
          </cell>
          <cell r="B634" t="str">
            <v>BITUPAVE LTD</v>
          </cell>
          <cell r="C634" t="str">
            <v>Seven Hills - Asphalt</v>
          </cell>
          <cell r="D634" t="str">
            <v>Station Road</v>
          </cell>
          <cell r="E634" t="str">
            <v>Seven Hills</v>
          </cell>
          <cell r="F634" t="str">
            <v>2147</v>
          </cell>
          <cell r="G634" t="str">
            <v>New South Wales</v>
          </cell>
          <cell r="H634" t="str">
            <v>Australia</v>
          </cell>
          <cell r="I634" t="str">
            <v>Not Applicable</v>
          </cell>
          <cell r="J634">
            <v>420000</v>
          </cell>
          <cell r="K634">
            <v>800000</v>
          </cell>
          <cell r="L634">
            <v>7000000</v>
          </cell>
          <cell r="M634">
            <v>500000</v>
          </cell>
          <cell r="N634">
            <v>4434000</v>
          </cell>
          <cell r="O634">
            <v>13154000</v>
          </cell>
        </row>
        <row r="635">
          <cell r="A635" t="str">
            <v>298</v>
          </cell>
          <cell r="B635" t="str">
            <v>BITUPAVE LTD</v>
          </cell>
          <cell r="C635" t="str">
            <v>St Peters - Asphalt</v>
          </cell>
          <cell r="D635" t="str">
            <v>Burrows Road South</v>
          </cell>
          <cell r="E635" t="str">
            <v>St Peters</v>
          </cell>
          <cell r="F635" t="str">
            <v>2044</v>
          </cell>
          <cell r="G635" t="str">
            <v>New South Wales</v>
          </cell>
          <cell r="H635" t="str">
            <v>Australia</v>
          </cell>
          <cell r="I635" t="str">
            <v>Not Applicable</v>
          </cell>
          <cell r="J635">
            <v>0</v>
          </cell>
          <cell r="K635">
            <v>0</v>
          </cell>
          <cell r="L635">
            <v>2000</v>
          </cell>
          <cell r="M635">
            <v>0</v>
          </cell>
          <cell r="N635">
            <v>0</v>
          </cell>
          <cell r="O635">
            <v>2000</v>
          </cell>
        </row>
        <row r="636">
          <cell r="A636" t="str">
            <v>298</v>
          </cell>
          <cell r="B636" t="str">
            <v>BITUPAVE LTD</v>
          </cell>
          <cell r="C636" t="str">
            <v>Tamworth - Asphalt</v>
          </cell>
          <cell r="D636" t="str">
            <v>Gunnedah Road</v>
          </cell>
          <cell r="E636" t="str">
            <v>Tamworth</v>
          </cell>
          <cell r="F636" t="str">
            <v>2340</v>
          </cell>
          <cell r="G636" t="str">
            <v>New South Wales</v>
          </cell>
          <cell r="H636" t="str">
            <v>Australia</v>
          </cell>
          <cell r="I636" t="str">
            <v>Not Applicable</v>
          </cell>
          <cell r="J636">
            <v>70000</v>
          </cell>
          <cell r="K636">
            <v>30000</v>
          </cell>
          <cell r="L636">
            <v>1000000</v>
          </cell>
          <cell r="M636">
            <v>0</v>
          </cell>
          <cell r="N636">
            <v>0</v>
          </cell>
          <cell r="O636">
            <v>1100000</v>
          </cell>
        </row>
        <row r="637">
          <cell r="A637" t="str">
            <v>298</v>
          </cell>
          <cell r="B637" t="str">
            <v>BITUPAVE LTD</v>
          </cell>
          <cell r="C637" t="str">
            <v>Taree - Asphalt</v>
          </cell>
          <cell r="D637" t="str">
            <v>29 Arkwright Crescent</v>
          </cell>
          <cell r="E637" t="str">
            <v>Taree</v>
          </cell>
          <cell r="F637" t="str">
            <v>2430</v>
          </cell>
          <cell r="G637" t="str">
            <v>New South Wales</v>
          </cell>
          <cell r="H637" t="str">
            <v>Australia</v>
          </cell>
          <cell r="I637" t="str">
            <v>Not Applicable</v>
          </cell>
          <cell r="J637">
            <v>30000</v>
          </cell>
          <cell r="K637">
            <v>10000</v>
          </cell>
          <cell r="L637">
            <v>1500000</v>
          </cell>
          <cell r="M637">
            <v>15000</v>
          </cell>
          <cell r="N637">
            <v>0</v>
          </cell>
          <cell r="O637">
            <v>1555000</v>
          </cell>
        </row>
        <row r="638">
          <cell r="A638" t="str">
            <v>298</v>
          </cell>
          <cell r="B638" t="str">
            <v>BITUPAVE LTD</v>
          </cell>
          <cell r="C638" t="str">
            <v>Wagga Wagga - Asphalt</v>
          </cell>
          <cell r="D638" t="str">
            <v>Norton Street</v>
          </cell>
          <cell r="E638" t="str">
            <v>Wagga Wagga</v>
          </cell>
          <cell r="F638" t="str">
            <v>2650</v>
          </cell>
          <cell r="G638" t="str">
            <v>New South Wales</v>
          </cell>
          <cell r="H638" t="str">
            <v>Australia</v>
          </cell>
          <cell r="I638" t="str">
            <v>Not Applicable</v>
          </cell>
          <cell r="J638">
            <v>160000</v>
          </cell>
          <cell r="K638">
            <v>33000</v>
          </cell>
          <cell r="L638">
            <v>1000000</v>
          </cell>
          <cell r="M638">
            <v>0</v>
          </cell>
          <cell r="N638">
            <v>0</v>
          </cell>
          <cell r="O638">
            <v>1193000</v>
          </cell>
        </row>
        <row r="639">
          <cell r="A639" t="str">
            <v>310</v>
          </cell>
          <cell r="B639" t="str">
            <v>ROAD SURFACES GROUP</v>
          </cell>
          <cell r="C639" t="str">
            <v>Barcaldine - Road Surfacing Group Qld</v>
          </cell>
          <cell r="D639" t="str">
            <v>18 Oak Street</v>
          </cell>
          <cell r="E639" t="str">
            <v>Barcaldine</v>
          </cell>
          <cell r="F639" t="str">
            <v>4725</v>
          </cell>
          <cell r="G639" t="str">
            <v>Queensland</v>
          </cell>
          <cell r="H639" t="str">
            <v>Australia</v>
          </cell>
          <cell r="I639" t="str">
            <v>Not Applicable</v>
          </cell>
          <cell r="J639">
            <v>150000</v>
          </cell>
          <cell r="K639">
            <v>130000</v>
          </cell>
          <cell r="L639">
            <v>700000</v>
          </cell>
          <cell r="M639">
            <v>0</v>
          </cell>
          <cell r="N639">
            <v>200000</v>
          </cell>
          <cell r="O639">
            <v>1180000</v>
          </cell>
        </row>
        <row r="640">
          <cell r="A640" t="str">
            <v>310</v>
          </cell>
          <cell r="B640" t="str">
            <v>ROAD SURFACES GROUP</v>
          </cell>
          <cell r="C640" t="str">
            <v>Charleville - Asphalt</v>
          </cell>
          <cell r="D640" t="str">
            <v>Warrego Highway</v>
          </cell>
          <cell r="E640" t="str">
            <v>Charleville</v>
          </cell>
          <cell r="F640" t="str">
            <v>4470</v>
          </cell>
          <cell r="G640" t="str">
            <v>Queensland</v>
          </cell>
          <cell r="H640" t="str">
            <v>Australia</v>
          </cell>
          <cell r="I640" t="str">
            <v>Not Applicable</v>
          </cell>
          <cell r="J640">
            <v>80000</v>
          </cell>
          <cell r="K640">
            <v>130000</v>
          </cell>
          <cell r="L640">
            <v>300000</v>
          </cell>
          <cell r="M640">
            <v>0</v>
          </cell>
          <cell r="N640">
            <v>200000</v>
          </cell>
          <cell r="O640">
            <v>710000</v>
          </cell>
        </row>
        <row r="641">
          <cell r="A641" t="str">
            <v>310</v>
          </cell>
          <cell r="B641" t="str">
            <v>ROAD SURFACES GROUP</v>
          </cell>
          <cell r="C641" t="str">
            <v>Mitchell - Apshalt Qld</v>
          </cell>
          <cell r="D641" t="str">
            <v>Warrego Highway</v>
          </cell>
          <cell r="E641" t="str">
            <v>Mitchell</v>
          </cell>
          <cell r="F641" t="str">
            <v>4465</v>
          </cell>
          <cell r="G641" t="str">
            <v>Queensland</v>
          </cell>
          <cell r="H641" t="str">
            <v>Australia</v>
          </cell>
          <cell r="I641" t="str">
            <v>Not Applicable</v>
          </cell>
          <cell r="J641">
            <v>10000</v>
          </cell>
          <cell r="K641">
            <v>50000</v>
          </cell>
          <cell r="L641">
            <v>930000</v>
          </cell>
          <cell r="M641">
            <v>0</v>
          </cell>
          <cell r="N641">
            <v>300000</v>
          </cell>
          <cell r="O641">
            <v>1290000</v>
          </cell>
        </row>
        <row r="642">
          <cell r="A642" t="str">
            <v>310</v>
          </cell>
          <cell r="B642" t="str">
            <v>ROAD SURFACES GROUP</v>
          </cell>
          <cell r="C642" t="str">
            <v>Narangba - Asphalt</v>
          </cell>
          <cell r="D642" t="str">
            <v>34 - 40 Potassium Street</v>
          </cell>
          <cell r="E642" t="str">
            <v>Narangba</v>
          </cell>
          <cell r="F642" t="str">
            <v>4504</v>
          </cell>
          <cell r="G642" t="str">
            <v>Queensland</v>
          </cell>
          <cell r="H642" t="str">
            <v>Australia</v>
          </cell>
          <cell r="I642" t="str">
            <v>Not Applicable</v>
          </cell>
          <cell r="J642">
            <v>160000</v>
          </cell>
          <cell r="K642">
            <v>350000</v>
          </cell>
          <cell r="L642">
            <v>2500000</v>
          </cell>
          <cell r="M642">
            <v>1500000</v>
          </cell>
          <cell r="N642">
            <v>600000</v>
          </cell>
          <cell r="O642">
            <v>5110000</v>
          </cell>
        </row>
        <row r="643">
          <cell r="A643" t="str">
            <v>310</v>
          </cell>
          <cell r="B643" t="str">
            <v>ROAD SURFACES GROUP</v>
          </cell>
          <cell r="C643" t="str">
            <v>Roma - Asphalt</v>
          </cell>
          <cell r="D643" t="str">
            <v>Currey Street</v>
          </cell>
          <cell r="E643" t="str">
            <v>Roma</v>
          </cell>
          <cell r="F643" t="str">
            <v>4455</v>
          </cell>
          <cell r="G643" t="str">
            <v>Queensland</v>
          </cell>
          <cell r="H643" t="str">
            <v>Australia</v>
          </cell>
          <cell r="I643" t="str">
            <v>Not Applicable</v>
          </cell>
          <cell r="J643">
            <v>0</v>
          </cell>
          <cell r="K643">
            <v>0</v>
          </cell>
          <cell r="L643">
            <v>0</v>
          </cell>
          <cell r="M643">
            <v>0</v>
          </cell>
          <cell r="N643">
            <v>0</v>
          </cell>
          <cell r="O643">
            <v>0</v>
          </cell>
        </row>
        <row r="644">
          <cell r="A644" t="str">
            <v>320</v>
          </cell>
          <cell r="B644" t="str">
            <v>FORMWORK &amp; SCAFFOLDING - ADMIN</v>
          </cell>
          <cell r="C644" t="str">
            <v>Boral Building Services-Admin/Factory</v>
          </cell>
          <cell r="D644" t="str">
            <v>2a Mavis Street</v>
          </cell>
          <cell r="E644" t="str">
            <v>Revesby</v>
          </cell>
          <cell r="F644" t="str">
            <v>2212</v>
          </cell>
          <cell r="G644" t="str">
            <v>New South Wales</v>
          </cell>
          <cell r="H644" t="str">
            <v>Australia</v>
          </cell>
          <cell r="I644" t="str">
            <v>Not Applicable</v>
          </cell>
          <cell r="J644">
            <v>947563</v>
          </cell>
          <cell r="K644">
            <v>3851546</v>
          </cell>
          <cell r="L644">
            <v>4438000</v>
          </cell>
          <cell r="M644">
            <v>145980</v>
          </cell>
          <cell r="N644">
            <v>100000</v>
          </cell>
          <cell r="O644">
            <v>9483089</v>
          </cell>
        </row>
        <row r="645">
          <cell r="A645" t="str">
            <v>322</v>
          </cell>
          <cell r="B645" t="str">
            <v>FORMWORK &amp; SCAFFOLDING - QLD</v>
          </cell>
          <cell r="C645" t="str">
            <v>Boral Building Services-Brisbane</v>
          </cell>
          <cell r="D645" t="str">
            <v>484 Bilsen Road</v>
          </cell>
          <cell r="E645" t="str">
            <v>Geebung</v>
          </cell>
          <cell r="F645" t="str">
            <v>4034</v>
          </cell>
          <cell r="G645" t="str">
            <v>Queensland</v>
          </cell>
          <cell r="H645" t="str">
            <v>Australia</v>
          </cell>
          <cell r="I645" t="str">
            <v>Not Applicable</v>
          </cell>
          <cell r="J645">
            <v>738331</v>
          </cell>
          <cell r="K645">
            <v>51870</v>
          </cell>
          <cell r="L645">
            <v>355000</v>
          </cell>
          <cell r="M645">
            <v>140000</v>
          </cell>
          <cell r="N645">
            <v>145000</v>
          </cell>
          <cell r="O645">
            <v>1430201</v>
          </cell>
        </row>
        <row r="646">
          <cell r="A646" t="str">
            <v>322</v>
          </cell>
          <cell r="B646" t="str">
            <v>FORMWORK &amp; SCAFFOLDING - QLD</v>
          </cell>
          <cell r="C646" t="str">
            <v>Boral Building Services-Cairns</v>
          </cell>
          <cell r="D646" t="str">
            <v>113 Kenny Street</v>
          </cell>
          <cell r="E646" t="str">
            <v>Portsmith</v>
          </cell>
          <cell r="F646" t="str">
            <v>4870</v>
          </cell>
          <cell r="G646" t="str">
            <v>Queensland</v>
          </cell>
          <cell r="H646" t="str">
            <v>Australia</v>
          </cell>
          <cell r="I646" t="str">
            <v>Not Applicable</v>
          </cell>
          <cell r="J646">
            <v>40055</v>
          </cell>
          <cell r="K646">
            <v>0</v>
          </cell>
          <cell r="L646">
            <v>120000</v>
          </cell>
          <cell r="M646">
            <v>0</v>
          </cell>
          <cell r="N646">
            <v>35000</v>
          </cell>
          <cell r="O646">
            <v>195055</v>
          </cell>
        </row>
        <row r="647">
          <cell r="A647" t="str">
            <v>322</v>
          </cell>
          <cell r="B647" t="str">
            <v>FORMWORK &amp; SCAFFOLDING - QLD</v>
          </cell>
          <cell r="C647" t="str">
            <v>Boral Building Services-Gladstone</v>
          </cell>
          <cell r="D647" t="str">
            <v>74 Hanson Road</v>
          </cell>
          <cell r="E647" t="str">
            <v>Gladstone</v>
          </cell>
          <cell r="F647" t="str">
            <v>4680</v>
          </cell>
          <cell r="G647" t="str">
            <v>Queensland</v>
          </cell>
          <cell r="H647" t="str">
            <v>Australia</v>
          </cell>
          <cell r="I647" t="str">
            <v>Not Applicable</v>
          </cell>
          <cell r="J647">
            <v>19315</v>
          </cell>
          <cell r="K647">
            <v>26000</v>
          </cell>
          <cell r="L647">
            <v>177000</v>
          </cell>
          <cell r="M647">
            <v>0</v>
          </cell>
          <cell r="N647">
            <v>20000</v>
          </cell>
          <cell r="O647">
            <v>242315</v>
          </cell>
        </row>
        <row r="648">
          <cell r="A648" t="str">
            <v>322</v>
          </cell>
          <cell r="B648" t="str">
            <v>FORMWORK &amp; SCAFFOLDING - QLD</v>
          </cell>
          <cell r="C648" t="str">
            <v>Boral Building Services-Gold Coast</v>
          </cell>
          <cell r="D648" t="str">
            <v>7 Greg Chappel Drive</v>
          </cell>
          <cell r="E648" t="str">
            <v>Andrews</v>
          </cell>
          <cell r="F648" t="str">
            <v>4220</v>
          </cell>
          <cell r="G648" t="str">
            <v>Queensland</v>
          </cell>
          <cell r="H648" t="str">
            <v>Australia</v>
          </cell>
          <cell r="I648" t="str">
            <v>Not Applicable</v>
          </cell>
          <cell r="J648">
            <v>22281</v>
          </cell>
          <cell r="K648">
            <v>0</v>
          </cell>
          <cell r="L648">
            <v>150000</v>
          </cell>
          <cell r="M648">
            <v>0</v>
          </cell>
          <cell r="N648">
            <v>30000</v>
          </cell>
          <cell r="O648">
            <v>202281</v>
          </cell>
        </row>
        <row r="649">
          <cell r="A649" t="str">
            <v>322</v>
          </cell>
          <cell r="B649" t="str">
            <v>FORMWORK &amp; SCAFFOLDING - QLD</v>
          </cell>
          <cell r="C649" t="str">
            <v>Boral Building Services-Mackay</v>
          </cell>
          <cell r="D649" t="str">
            <v>Elvin Street</v>
          </cell>
          <cell r="E649" t="str">
            <v>Mackay</v>
          </cell>
          <cell r="F649" t="str">
            <v>4740</v>
          </cell>
          <cell r="G649" t="str">
            <v>Queensland</v>
          </cell>
          <cell r="H649" t="str">
            <v>Australia</v>
          </cell>
          <cell r="I649" t="str">
            <v>Not Applicable</v>
          </cell>
          <cell r="J649">
            <v>7493</v>
          </cell>
          <cell r="K649">
            <v>0</v>
          </cell>
          <cell r="L649">
            <v>72000</v>
          </cell>
          <cell r="M649">
            <v>0</v>
          </cell>
          <cell r="N649">
            <v>35000</v>
          </cell>
          <cell r="O649">
            <v>114493</v>
          </cell>
        </row>
        <row r="650">
          <cell r="A650" t="str">
            <v>322</v>
          </cell>
          <cell r="B650" t="str">
            <v>FORMWORK &amp; SCAFFOLDING - QLD</v>
          </cell>
          <cell r="C650" t="str">
            <v>Boral Building Services-Maroochydore</v>
          </cell>
          <cell r="D650" t="str">
            <v>Lot 31 Kessling Avenue</v>
          </cell>
          <cell r="E650" t="str">
            <v>Kunda Park</v>
          </cell>
          <cell r="F650" t="str">
            <v>4556</v>
          </cell>
          <cell r="G650" t="str">
            <v>Queensland</v>
          </cell>
          <cell r="H650" t="str">
            <v>Australia</v>
          </cell>
          <cell r="I650" t="str">
            <v>Not Applicable</v>
          </cell>
          <cell r="J650">
            <v>23216</v>
          </cell>
          <cell r="K650">
            <v>0</v>
          </cell>
          <cell r="L650">
            <v>150000</v>
          </cell>
          <cell r="M650">
            <v>0</v>
          </cell>
          <cell r="N650">
            <v>45000</v>
          </cell>
          <cell r="O650">
            <v>218216</v>
          </cell>
        </row>
        <row r="651">
          <cell r="A651" t="str">
            <v>322</v>
          </cell>
          <cell r="B651" t="str">
            <v>FORMWORK &amp; SCAFFOLDING - QLD</v>
          </cell>
          <cell r="C651" t="str">
            <v>Boral Building Services-Rockhampton</v>
          </cell>
          <cell r="D651" t="str">
            <v>Hampenstall Street</v>
          </cell>
          <cell r="E651" t="str">
            <v>Rockhampton</v>
          </cell>
          <cell r="F651" t="str">
            <v>4700</v>
          </cell>
          <cell r="G651" t="str">
            <v>Queensland</v>
          </cell>
          <cell r="H651" t="str">
            <v>Australia</v>
          </cell>
          <cell r="I651" t="str">
            <v>Not Applicable</v>
          </cell>
          <cell r="J651">
            <v>61626</v>
          </cell>
          <cell r="K651">
            <v>0</v>
          </cell>
          <cell r="L651">
            <v>177000</v>
          </cell>
          <cell r="M651">
            <v>0</v>
          </cell>
          <cell r="N651">
            <v>45000</v>
          </cell>
          <cell r="O651">
            <v>283626</v>
          </cell>
        </row>
        <row r="652">
          <cell r="A652" t="str">
            <v>322</v>
          </cell>
          <cell r="B652" t="str">
            <v>FORMWORK &amp; SCAFFOLDING - QLD</v>
          </cell>
          <cell r="C652" t="str">
            <v>Boral Building Services-Toowoomba</v>
          </cell>
          <cell r="D652" t="str">
            <v>10 Link Street</v>
          </cell>
          <cell r="E652" t="str">
            <v>Toowoomba</v>
          </cell>
          <cell r="F652" t="str">
            <v>4350</v>
          </cell>
          <cell r="G652" t="str">
            <v>Queensland</v>
          </cell>
          <cell r="H652" t="str">
            <v>Australia</v>
          </cell>
          <cell r="I652" t="str">
            <v>Not Applicable</v>
          </cell>
          <cell r="J652">
            <v>8417</v>
          </cell>
          <cell r="K652">
            <v>19500</v>
          </cell>
          <cell r="L652">
            <v>150000</v>
          </cell>
          <cell r="M652">
            <v>0</v>
          </cell>
          <cell r="N652">
            <v>20000</v>
          </cell>
          <cell r="O652">
            <v>197917</v>
          </cell>
        </row>
        <row r="653">
          <cell r="A653" t="str">
            <v>322</v>
          </cell>
          <cell r="B653" t="str">
            <v>FORMWORK &amp; SCAFFOLDING - QLD</v>
          </cell>
          <cell r="C653" t="str">
            <v>Boral Building Services-Townsville</v>
          </cell>
          <cell r="D653" t="str">
            <v>353 Bayswater Road</v>
          </cell>
          <cell r="E653" t="str">
            <v>Garbutt</v>
          </cell>
          <cell r="F653" t="str">
            <v>4814</v>
          </cell>
          <cell r="G653" t="str">
            <v>Queensland</v>
          </cell>
          <cell r="H653" t="str">
            <v>Australia</v>
          </cell>
          <cell r="I653" t="str">
            <v>Not Applicable</v>
          </cell>
          <cell r="J653">
            <v>41257</v>
          </cell>
          <cell r="K653">
            <v>0</v>
          </cell>
          <cell r="L653">
            <v>72000</v>
          </cell>
          <cell r="M653">
            <v>0</v>
          </cell>
          <cell r="N653">
            <v>50000</v>
          </cell>
          <cell r="O653">
            <v>163257</v>
          </cell>
        </row>
        <row r="654">
          <cell r="A654" t="str">
            <v>324</v>
          </cell>
          <cell r="B654" t="str">
            <v>FORMWORK &amp; SCAFFOLDING - NSW</v>
          </cell>
          <cell r="C654" t="str">
            <v>Boral Building Services-Albury</v>
          </cell>
          <cell r="D654" t="str">
            <v>369 Bridge Street</v>
          </cell>
          <cell r="E654" t="str">
            <v>Albury</v>
          </cell>
          <cell r="F654" t="str">
            <v>2640</v>
          </cell>
          <cell r="G654" t="str">
            <v>New South Wales</v>
          </cell>
          <cell r="H654" t="str">
            <v>Australia</v>
          </cell>
          <cell r="I654" t="str">
            <v>Not Applicable</v>
          </cell>
          <cell r="J654">
            <v>15013</v>
          </cell>
          <cell r="K654">
            <v>0</v>
          </cell>
          <cell r="L654">
            <v>293000</v>
          </cell>
          <cell r="M654">
            <v>50000</v>
          </cell>
          <cell r="N654">
            <v>5000</v>
          </cell>
          <cell r="O654">
            <v>363013</v>
          </cell>
        </row>
        <row r="655">
          <cell r="A655" t="str">
            <v>324</v>
          </cell>
          <cell r="B655" t="str">
            <v>FORMWORK &amp; SCAFFOLDING - NSW</v>
          </cell>
          <cell r="C655" t="str">
            <v>Boral Building Services-Brookvale</v>
          </cell>
          <cell r="D655" t="str">
            <v>34 Orchard Road</v>
          </cell>
          <cell r="E655" t="str">
            <v>Brookvale</v>
          </cell>
          <cell r="F655" t="str">
            <v>2100</v>
          </cell>
          <cell r="G655" t="str">
            <v>New South Wales</v>
          </cell>
          <cell r="H655" t="str">
            <v>Australia</v>
          </cell>
          <cell r="I655" t="str">
            <v>Not Applicable</v>
          </cell>
          <cell r="J655">
            <v>43337</v>
          </cell>
          <cell r="K655">
            <v>0</v>
          </cell>
          <cell r="L655">
            <v>423000</v>
          </cell>
          <cell r="M655">
            <v>50000</v>
          </cell>
          <cell r="N655">
            <v>15000</v>
          </cell>
          <cell r="O655">
            <v>531337</v>
          </cell>
        </row>
        <row r="656">
          <cell r="A656" t="str">
            <v>324</v>
          </cell>
          <cell r="B656" t="str">
            <v>FORMWORK &amp; SCAFFOLDING - NSW</v>
          </cell>
          <cell r="C656" t="str">
            <v>Boral Building Services-Canberra</v>
          </cell>
          <cell r="D656" t="str">
            <v>6 Whyalla Street</v>
          </cell>
          <cell r="E656" t="str">
            <v>Fyshwick</v>
          </cell>
          <cell r="F656" t="str">
            <v>2609</v>
          </cell>
          <cell r="G656" t="str">
            <v>Australian Capital Territory</v>
          </cell>
          <cell r="H656" t="str">
            <v>Australia</v>
          </cell>
          <cell r="I656" t="str">
            <v>Not Applicable</v>
          </cell>
          <cell r="J656">
            <v>115448</v>
          </cell>
          <cell r="K656">
            <v>0</v>
          </cell>
          <cell r="L656">
            <v>550000</v>
          </cell>
          <cell r="M656">
            <v>50000</v>
          </cell>
          <cell r="N656">
            <v>25000</v>
          </cell>
          <cell r="O656">
            <v>740448</v>
          </cell>
        </row>
        <row r="657">
          <cell r="A657" t="str">
            <v>324</v>
          </cell>
          <cell r="B657" t="str">
            <v>FORMWORK &amp; SCAFFOLDING - NSW</v>
          </cell>
          <cell r="C657" t="str">
            <v>Boral Building Services-Darwin</v>
          </cell>
          <cell r="D657" t="str">
            <v>Unit 2-32 Bishop Street</v>
          </cell>
          <cell r="E657" t="str">
            <v>Stuart Park</v>
          </cell>
          <cell r="F657" t="str">
            <v>0820</v>
          </cell>
          <cell r="G657" t="str">
            <v>Northern Territory</v>
          </cell>
          <cell r="H657" t="str">
            <v>Australia</v>
          </cell>
          <cell r="I657" t="str">
            <v>Not Applicable</v>
          </cell>
          <cell r="J657">
            <v>141073</v>
          </cell>
          <cell r="K657">
            <v>0</v>
          </cell>
          <cell r="L657">
            <v>0</v>
          </cell>
          <cell r="M657">
            <v>0</v>
          </cell>
          <cell r="N657">
            <v>65000</v>
          </cell>
          <cell r="O657">
            <v>206073</v>
          </cell>
        </row>
        <row r="658">
          <cell r="A658" t="str">
            <v>324</v>
          </cell>
          <cell r="B658" t="str">
            <v>FORMWORK &amp; SCAFFOLDING - NSW</v>
          </cell>
          <cell r="C658" t="str">
            <v>Boral Building Services-Gosford</v>
          </cell>
          <cell r="D658" t="str">
            <v>3/14 Like Close</v>
          </cell>
          <cell r="E658" t="str">
            <v>West Gosford</v>
          </cell>
          <cell r="F658" t="str">
            <v>2250</v>
          </cell>
          <cell r="G658" t="str">
            <v>New South Wales</v>
          </cell>
          <cell r="H658" t="str">
            <v>Australia</v>
          </cell>
          <cell r="I658" t="str">
            <v>Not Applicable</v>
          </cell>
          <cell r="J658">
            <v>84599</v>
          </cell>
          <cell r="K658">
            <v>0</v>
          </cell>
          <cell r="L658">
            <v>250000</v>
          </cell>
          <cell r="M658">
            <v>50000</v>
          </cell>
          <cell r="N658">
            <v>35000</v>
          </cell>
          <cell r="O658">
            <v>419599</v>
          </cell>
        </row>
        <row r="659">
          <cell r="A659" t="str">
            <v>324</v>
          </cell>
          <cell r="B659" t="str">
            <v>FORMWORK &amp; SCAFFOLDING - NSW</v>
          </cell>
          <cell r="C659" t="str">
            <v>Boral Building Services-Newcastle</v>
          </cell>
          <cell r="D659" t="str">
            <v>Gross Street</v>
          </cell>
          <cell r="E659" t="str">
            <v>Carrington</v>
          </cell>
          <cell r="F659" t="str">
            <v>2294</v>
          </cell>
          <cell r="G659" t="str">
            <v>New South Wales</v>
          </cell>
          <cell r="H659" t="str">
            <v>Australia</v>
          </cell>
          <cell r="I659" t="str">
            <v>Not Applicable</v>
          </cell>
          <cell r="J659">
            <v>158965</v>
          </cell>
          <cell r="K659">
            <v>0</v>
          </cell>
          <cell r="L659">
            <v>150000</v>
          </cell>
          <cell r="M659">
            <v>50000</v>
          </cell>
          <cell r="N659">
            <v>95000</v>
          </cell>
          <cell r="O659">
            <v>453965</v>
          </cell>
        </row>
        <row r="660">
          <cell r="A660" t="str">
            <v>324</v>
          </cell>
          <cell r="B660" t="str">
            <v>FORMWORK &amp; SCAFFOLDING - NSW</v>
          </cell>
          <cell r="C660" t="str">
            <v>Boral Building Services-Orange</v>
          </cell>
          <cell r="D660" t="str">
            <v>10 Corporation Place</v>
          </cell>
          <cell r="E660" t="str">
            <v>Orange</v>
          </cell>
          <cell r="F660" t="str">
            <v>2800</v>
          </cell>
          <cell r="G660" t="str">
            <v>New South Wales</v>
          </cell>
          <cell r="H660" t="str">
            <v>Australia</v>
          </cell>
          <cell r="I660" t="str">
            <v>Not Applicable</v>
          </cell>
          <cell r="J660">
            <v>46287</v>
          </cell>
          <cell r="K660">
            <v>0</v>
          </cell>
          <cell r="L660">
            <v>424000</v>
          </cell>
          <cell r="M660">
            <v>50000</v>
          </cell>
          <cell r="N660">
            <v>35000</v>
          </cell>
          <cell r="O660">
            <v>555287</v>
          </cell>
        </row>
        <row r="661">
          <cell r="A661" t="str">
            <v>324</v>
          </cell>
          <cell r="B661" t="str">
            <v>FORMWORK &amp; SCAFFOLDING - NSW</v>
          </cell>
          <cell r="C661" t="str">
            <v>Boral Building Services-Port Macquarie</v>
          </cell>
          <cell r="D661" t="str">
            <v>12 Belah Road</v>
          </cell>
          <cell r="E661" t="str">
            <v>Port Macquarie, nsw</v>
          </cell>
          <cell r="F661" t="str">
            <v>2444</v>
          </cell>
          <cell r="G661" t="str">
            <v>New South Wales</v>
          </cell>
          <cell r="H661" t="str">
            <v>Australia</v>
          </cell>
          <cell r="I661" t="str">
            <v>Not Applicable</v>
          </cell>
          <cell r="J661">
            <v>33177</v>
          </cell>
          <cell r="K661">
            <v>0</v>
          </cell>
          <cell r="L661">
            <v>400000</v>
          </cell>
          <cell r="M661">
            <v>50000</v>
          </cell>
          <cell r="N661">
            <v>10000</v>
          </cell>
          <cell r="O661">
            <v>493177</v>
          </cell>
        </row>
        <row r="662">
          <cell r="A662" t="str">
            <v>324</v>
          </cell>
          <cell r="B662" t="str">
            <v>FORMWORK &amp; SCAFFOLDING - NSW</v>
          </cell>
          <cell r="C662" t="str">
            <v>Boral Building Services-Revesby</v>
          </cell>
          <cell r="D662" t="str">
            <v>2a Mavis Street</v>
          </cell>
          <cell r="E662" t="str">
            <v>Revesby</v>
          </cell>
          <cell r="F662" t="str">
            <v>2212</v>
          </cell>
          <cell r="G662" t="str">
            <v>New South Wales</v>
          </cell>
          <cell r="H662" t="str">
            <v>Australia</v>
          </cell>
          <cell r="I662" t="str">
            <v>Not Applicable</v>
          </cell>
          <cell r="J662">
            <v>857468</v>
          </cell>
          <cell r="K662">
            <v>176185</v>
          </cell>
          <cell r="L662">
            <v>0</v>
          </cell>
          <cell r="M662">
            <v>0</v>
          </cell>
          <cell r="N662">
            <v>770000</v>
          </cell>
          <cell r="O662">
            <v>1803653</v>
          </cell>
        </row>
        <row r="663">
          <cell r="A663" t="str">
            <v>324</v>
          </cell>
          <cell r="B663" t="str">
            <v>FORMWORK &amp; SCAFFOLDING - NSW</v>
          </cell>
          <cell r="C663" t="str">
            <v>Boral Building Services-Tamworth</v>
          </cell>
          <cell r="D663" t="str">
            <v>Lockheed Street</v>
          </cell>
          <cell r="E663" t="str">
            <v>Tamworth</v>
          </cell>
          <cell r="F663" t="str">
            <v>2340</v>
          </cell>
          <cell r="G663" t="str">
            <v>New South Wales</v>
          </cell>
          <cell r="H663" t="str">
            <v>Australia</v>
          </cell>
          <cell r="I663" t="str">
            <v>Not Applicable</v>
          </cell>
          <cell r="J663">
            <v>38273</v>
          </cell>
          <cell r="K663">
            <v>0</v>
          </cell>
          <cell r="L663">
            <v>278000</v>
          </cell>
          <cell r="M663">
            <v>50000</v>
          </cell>
          <cell r="N663">
            <v>25000</v>
          </cell>
          <cell r="O663">
            <v>391273</v>
          </cell>
        </row>
        <row r="664">
          <cell r="A664" t="str">
            <v>324</v>
          </cell>
          <cell r="B664" t="str">
            <v>FORMWORK &amp; SCAFFOLDING - NSW</v>
          </cell>
          <cell r="C664" t="str">
            <v>Boral Building Services-Wagga Wagga</v>
          </cell>
          <cell r="D664" t="str">
            <v>14 Saxon Street</v>
          </cell>
          <cell r="E664" t="str">
            <v>Wagga Wagga</v>
          </cell>
          <cell r="F664" t="str">
            <v>2650</v>
          </cell>
          <cell r="G664" t="str">
            <v>New South Wales</v>
          </cell>
          <cell r="H664" t="str">
            <v>Australia</v>
          </cell>
          <cell r="I664" t="str">
            <v>Not Applicable</v>
          </cell>
          <cell r="J664">
            <v>52024</v>
          </cell>
          <cell r="K664">
            <v>0</v>
          </cell>
          <cell r="L664">
            <v>252000</v>
          </cell>
          <cell r="M664">
            <v>50000</v>
          </cell>
          <cell r="N664">
            <v>45000</v>
          </cell>
          <cell r="O664">
            <v>399024</v>
          </cell>
        </row>
        <row r="665">
          <cell r="A665" t="str">
            <v>324</v>
          </cell>
          <cell r="B665" t="str">
            <v>FORMWORK &amp; SCAFFOLDING - NSW</v>
          </cell>
          <cell r="C665" t="str">
            <v>Boral Building Services-Wollongong</v>
          </cell>
          <cell r="D665" t="str">
            <v>49 Montague Street</v>
          </cell>
          <cell r="E665" t="str">
            <v>Fairy Meadow</v>
          </cell>
          <cell r="F665" t="str">
            <v>2519</v>
          </cell>
          <cell r="G665" t="str">
            <v>New South Wales</v>
          </cell>
          <cell r="H665" t="str">
            <v>Australia</v>
          </cell>
          <cell r="I665" t="str">
            <v>Not Applicable</v>
          </cell>
          <cell r="J665">
            <v>44606</v>
          </cell>
          <cell r="K665">
            <v>0</v>
          </cell>
          <cell r="L665">
            <v>455000</v>
          </cell>
          <cell r="M665">
            <v>50000</v>
          </cell>
          <cell r="N665">
            <v>95000</v>
          </cell>
          <cell r="O665">
            <v>644606</v>
          </cell>
        </row>
        <row r="666">
          <cell r="A666" t="str">
            <v>325</v>
          </cell>
          <cell r="B666" t="str">
            <v>FORMWORK &amp; SCAFFOLDING - VIC</v>
          </cell>
          <cell r="C666" t="str">
            <v>Boral Building Services-Melbourne</v>
          </cell>
          <cell r="D666" t="str">
            <v>57 Reid Street</v>
          </cell>
          <cell r="E666" t="str">
            <v>Ardeer</v>
          </cell>
          <cell r="F666" t="str">
            <v>3022</v>
          </cell>
          <cell r="G666" t="str">
            <v>Victoria</v>
          </cell>
          <cell r="H666" t="str">
            <v>Australia</v>
          </cell>
          <cell r="I666" t="str">
            <v>Not Applicable</v>
          </cell>
          <cell r="J666">
            <v>165428</v>
          </cell>
          <cell r="K666">
            <v>71819</v>
          </cell>
          <cell r="L666">
            <v>506000</v>
          </cell>
          <cell r="M666">
            <v>124378</v>
          </cell>
          <cell r="N666">
            <v>95000</v>
          </cell>
          <cell r="O666">
            <v>962625</v>
          </cell>
        </row>
        <row r="667">
          <cell r="A667" t="str">
            <v>325</v>
          </cell>
          <cell r="B667" t="str">
            <v>FORMWORK &amp; SCAFFOLDING - VIC</v>
          </cell>
          <cell r="C667" t="str">
            <v>Boral Building Services-Traralgon</v>
          </cell>
          <cell r="D667" t="str">
            <v>12 Southern Road</v>
          </cell>
          <cell r="E667" t="str">
            <v>Traralgon</v>
          </cell>
          <cell r="F667" t="str">
            <v>3844</v>
          </cell>
          <cell r="G667" t="str">
            <v>Victoria</v>
          </cell>
          <cell r="H667" t="str">
            <v>Australia</v>
          </cell>
          <cell r="I667" t="str">
            <v>Not Applicable</v>
          </cell>
          <cell r="J667">
            <v>33793</v>
          </cell>
          <cell r="K667">
            <v>71500</v>
          </cell>
          <cell r="L667">
            <v>0</v>
          </cell>
          <cell r="M667">
            <v>0</v>
          </cell>
          <cell r="N667">
            <v>15000</v>
          </cell>
          <cell r="O667">
            <v>120293</v>
          </cell>
        </row>
        <row r="668">
          <cell r="A668" t="str">
            <v>326</v>
          </cell>
          <cell r="B668" t="str">
            <v>FORMWORK &amp; SCAFFOLDING - SA</v>
          </cell>
          <cell r="C668" t="str">
            <v>Boral Building Services-Adelaide</v>
          </cell>
          <cell r="D668" t="str">
            <v>12 Senna Road</v>
          </cell>
          <cell r="E668" t="str">
            <v>Wingfield</v>
          </cell>
          <cell r="F668" t="str">
            <v>5013</v>
          </cell>
          <cell r="G668" t="str">
            <v>South Australia</v>
          </cell>
          <cell r="H668" t="str">
            <v>Australia</v>
          </cell>
          <cell r="I668" t="str">
            <v>Not Applicable</v>
          </cell>
          <cell r="J668">
            <v>109973</v>
          </cell>
          <cell r="K668">
            <v>36510</v>
          </cell>
          <cell r="L668">
            <v>434000</v>
          </cell>
          <cell r="M668">
            <v>28148</v>
          </cell>
          <cell r="N668">
            <v>85000</v>
          </cell>
          <cell r="O668">
            <v>693631</v>
          </cell>
        </row>
        <row r="669">
          <cell r="A669" t="str">
            <v>327</v>
          </cell>
          <cell r="B669" t="str">
            <v>FORMWORK &amp; SCAFFOLDING - WA</v>
          </cell>
          <cell r="C669" t="str">
            <v>Boral Building Services - Scaffolding - Revesby</v>
          </cell>
          <cell r="D669" t="str">
            <v>2a Mavis Street</v>
          </cell>
          <cell r="E669" t="str">
            <v>Revesby</v>
          </cell>
          <cell r="F669" t="str">
            <v>2212</v>
          </cell>
          <cell r="G669" t="str">
            <v>New South Wales</v>
          </cell>
          <cell r="H669" t="str">
            <v>Australia</v>
          </cell>
          <cell r="I669" t="str">
            <v>Not Applicable</v>
          </cell>
          <cell r="J669">
            <v>0</v>
          </cell>
          <cell r="K669">
            <v>0</v>
          </cell>
          <cell r="L669">
            <v>0</v>
          </cell>
          <cell r="M669">
            <v>0</v>
          </cell>
          <cell r="N669">
            <v>0</v>
          </cell>
          <cell r="O669">
            <v>0</v>
          </cell>
        </row>
        <row r="670">
          <cell r="A670" t="str">
            <v>327</v>
          </cell>
          <cell r="B670" t="str">
            <v>FORMWORK &amp; SCAFFOLDING - WA</v>
          </cell>
          <cell r="C670" t="str">
            <v>Boral Building Services-Bunbury</v>
          </cell>
          <cell r="D670" t="str">
            <v>252 Picton Road</v>
          </cell>
          <cell r="E670" t="str">
            <v>Picton</v>
          </cell>
          <cell r="F670" t="str">
            <v>6229</v>
          </cell>
          <cell r="G670" t="str">
            <v>Western Australia</v>
          </cell>
          <cell r="H670" t="str">
            <v>Australia</v>
          </cell>
          <cell r="I670" t="str">
            <v>Not Applicable</v>
          </cell>
          <cell r="J670">
            <v>11086</v>
          </cell>
          <cell r="K670">
            <v>0</v>
          </cell>
          <cell r="L670">
            <v>45000</v>
          </cell>
          <cell r="M670">
            <v>0</v>
          </cell>
          <cell r="N670">
            <v>20000</v>
          </cell>
          <cell r="O670">
            <v>76086</v>
          </cell>
        </row>
        <row r="671">
          <cell r="A671" t="str">
            <v>327</v>
          </cell>
          <cell r="B671" t="str">
            <v>FORMWORK &amp; SCAFFOLDING - WA</v>
          </cell>
          <cell r="C671" t="str">
            <v>Boral Building Services-Kalgoorlie</v>
          </cell>
          <cell r="D671" t="str">
            <v>7 Craig Road</v>
          </cell>
          <cell r="E671" t="str">
            <v>Somerville</v>
          </cell>
          <cell r="F671" t="str">
            <v>6431</v>
          </cell>
          <cell r="G671" t="str">
            <v>Western Australia</v>
          </cell>
          <cell r="H671" t="str">
            <v>Australia</v>
          </cell>
          <cell r="I671" t="str">
            <v>Not Applicable</v>
          </cell>
          <cell r="J671">
            <v>30234</v>
          </cell>
          <cell r="K671">
            <v>0</v>
          </cell>
          <cell r="L671">
            <v>60000</v>
          </cell>
          <cell r="M671">
            <v>0</v>
          </cell>
          <cell r="N671">
            <v>5000</v>
          </cell>
          <cell r="O671">
            <v>95234</v>
          </cell>
        </row>
        <row r="672">
          <cell r="A672" t="str">
            <v>327</v>
          </cell>
          <cell r="B672" t="str">
            <v>FORMWORK &amp; SCAFFOLDING - WA</v>
          </cell>
          <cell r="C672" t="str">
            <v>Boral Building Services-Karratha</v>
          </cell>
          <cell r="D672" t="str">
            <v>Lambert Way</v>
          </cell>
          <cell r="E672" t="str">
            <v>Karratha</v>
          </cell>
          <cell r="F672" t="str">
            <v>6714</v>
          </cell>
          <cell r="G672" t="str">
            <v>Western Australia</v>
          </cell>
          <cell r="H672" t="str">
            <v>Australia</v>
          </cell>
          <cell r="I672" t="str">
            <v>Not Applicable</v>
          </cell>
          <cell r="J672">
            <v>20425</v>
          </cell>
          <cell r="K672">
            <v>0</v>
          </cell>
          <cell r="L672">
            <v>55000</v>
          </cell>
          <cell r="M672">
            <v>0</v>
          </cell>
          <cell r="N672">
            <v>50000</v>
          </cell>
          <cell r="O672">
            <v>125425</v>
          </cell>
        </row>
        <row r="673">
          <cell r="A673" t="str">
            <v>327</v>
          </cell>
          <cell r="B673" t="str">
            <v>FORMWORK &amp; SCAFFOLDING - WA</v>
          </cell>
          <cell r="C673" t="str">
            <v>Boral Building Services-Kwinana</v>
          </cell>
          <cell r="D673" t="str">
            <v>Cnr Old Mandurah &amp; Richardsons</v>
          </cell>
          <cell r="E673" t="str">
            <v>Kwinana</v>
          </cell>
          <cell r="F673" t="str">
            <v>6167</v>
          </cell>
          <cell r="G673" t="str">
            <v>Western Australia</v>
          </cell>
          <cell r="H673" t="str">
            <v>Australia</v>
          </cell>
          <cell r="I673" t="str">
            <v>Not Applicable</v>
          </cell>
          <cell r="J673">
            <v>5283</v>
          </cell>
          <cell r="K673">
            <v>0</v>
          </cell>
          <cell r="L673">
            <v>70000</v>
          </cell>
          <cell r="M673">
            <v>0</v>
          </cell>
          <cell r="N673">
            <v>5000</v>
          </cell>
          <cell r="O673">
            <v>80283</v>
          </cell>
        </row>
        <row r="674">
          <cell r="A674" t="str">
            <v>327</v>
          </cell>
          <cell r="B674" t="str">
            <v>FORMWORK &amp; SCAFFOLDING - WA</v>
          </cell>
          <cell r="C674" t="str">
            <v>Boral Building Services-Perth</v>
          </cell>
          <cell r="D674" t="str">
            <v>34 Hoskins Road</v>
          </cell>
          <cell r="E674" t="str">
            <v>Landsdale</v>
          </cell>
          <cell r="F674" t="str">
            <v>6065</v>
          </cell>
          <cell r="G674" t="str">
            <v>Western Australia</v>
          </cell>
          <cell r="H674" t="str">
            <v>Australia</v>
          </cell>
          <cell r="I674" t="str">
            <v>Not Applicable</v>
          </cell>
          <cell r="J674">
            <v>373323</v>
          </cell>
          <cell r="K674">
            <v>75293</v>
          </cell>
          <cell r="L674">
            <v>67000</v>
          </cell>
          <cell r="M674">
            <v>0</v>
          </cell>
          <cell r="N674">
            <v>70000</v>
          </cell>
          <cell r="O674">
            <v>585616</v>
          </cell>
        </row>
        <row r="675">
          <cell r="A675" t="str">
            <v>327</v>
          </cell>
          <cell r="B675" t="str">
            <v>FORMWORK &amp; SCAFFOLDING - WA</v>
          </cell>
          <cell r="C675" t="str">
            <v>Boral Building Services-Port Hedland</v>
          </cell>
          <cell r="D675" t="str">
            <v>Boodarie Site Hbi</v>
          </cell>
          <cell r="E675" t="str">
            <v>Port Hedland</v>
          </cell>
          <cell r="F675" t="str">
            <v>6721</v>
          </cell>
          <cell r="G675" t="str">
            <v>Western Australia</v>
          </cell>
          <cell r="H675" t="str">
            <v>Australia</v>
          </cell>
          <cell r="I675" t="str">
            <v>Not Applicable</v>
          </cell>
          <cell r="J675">
            <v>0</v>
          </cell>
          <cell r="K675">
            <v>0</v>
          </cell>
          <cell r="L675">
            <v>75000</v>
          </cell>
          <cell r="M675">
            <v>0</v>
          </cell>
          <cell r="N675">
            <v>5000</v>
          </cell>
          <cell r="O675">
            <v>80000</v>
          </cell>
        </row>
        <row r="676">
          <cell r="A676" t="str">
            <v>328</v>
          </cell>
          <cell r="B676" t="str">
            <v>FORMWORK &amp; SCAFFOLDING - TAS</v>
          </cell>
          <cell r="C676" t="str">
            <v>Boral Building Services - Scaffolding - Tasmania</v>
          </cell>
          <cell r="D676" t="str">
            <v>93 Lampton Avenue</v>
          </cell>
          <cell r="E676" t="str">
            <v>Moonah</v>
          </cell>
          <cell r="F676" t="str">
            <v>7009</v>
          </cell>
          <cell r="G676" t="str">
            <v>Tasmania</v>
          </cell>
          <cell r="H676" t="str">
            <v>Australia</v>
          </cell>
          <cell r="I676" t="str">
            <v>Not Applicable</v>
          </cell>
          <cell r="J676">
            <v>49656</v>
          </cell>
          <cell r="K676">
            <v>9516</v>
          </cell>
          <cell r="L676">
            <v>92000</v>
          </cell>
          <cell r="M676">
            <v>39233</v>
          </cell>
          <cell r="N676">
            <v>23000</v>
          </cell>
          <cell r="O676">
            <v>213405</v>
          </cell>
        </row>
        <row r="677">
          <cell r="A677" t="str">
            <v>370</v>
          </cell>
          <cell r="B677" t="str">
            <v>DEMARTIN &amp; GASPARINI PTY LTD</v>
          </cell>
          <cell r="C677" t="str">
            <v>De Martin &amp; Gasparini - NSW</v>
          </cell>
          <cell r="D677" t="str">
            <v>Lot 5 Bennelong Road</v>
          </cell>
          <cell r="E677" t="str">
            <v>Homebush Bay</v>
          </cell>
          <cell r="F677" t="str">
            <v>2140</v>
          </cell>
          <cell r="G677" t="str">
            <v>New South Wales</v>
          </cell>
          <cell r="H677" t="str">
            <v>Australia</v>
          </cell>
          <cell r="I677" t="str">
            <v>Not Applicable</v>
          </cell>
          <cell r="J677">
            <v>500000</v>
          </cell>
          <cell r="K677">
            <v>644000</v>
          </cell>
          <cell r="L677">
            <v>1794000</v>
          </cell>
          <cell r="M677">
            <v>0</v>
          </cell>
          <cell r="N677">
            <v>3000000</v>
          </cell>
          <cell r="O677">
            <v>5938000</v>
          </cell>
        </row>
        <row r="678">
          <cell r="A678" t="str">
            <v>371</v>
          </cell>
          <cell r="B678" t="str">
            <v>DMG CONCRETE PLACERS PTY LTD</v>
          </cell>
          <cell r="C678" t="str">
            <v>De Martin &amp; Gasparini Concrete Placers</v>
          </cell>
          <cell r="D678" t="str">
            <v>Cnr Bennelong Road &amp; Burroway Road</v>
          </cell>
          <cell r="E678" t="str">
            <v>Homebush Bay</v>
          </cell>
          <cell r="F678" t="str">
            <v>2140</v>
          </cell>
          <cell r="G678" t="str">
            <v>New South Wales</v>
          </cell>
          <cell r="H678" t="str">
            <v>Australia</v>
          </cell>
          <cell r="I678" t="str">
            <v>Not Applicable</v>
          </cell>
          <cell r="J678">
            <v>0</v>
          </cell>
          <cell r="K678">
            <v>0</v>
          </cell>
          <cell r="L678">
            <v>0</v>
          </cell>
          <cell r="M678">
            <v>0</v>
          </cell>
          <cell r="N678">
            <v>0</v>
          </cell>
          <cell r="O678">
            <v>0</v>
          </cell>
        </row>
        <row r="679">
          <cell r="A679" t="str">
            <v>372</v>
          </cell>
          <cell r="B679" t="str">
            <v>DMG PUMPING PTY LTD</v>
          </cell>
          <cell r="C679" t="str">
            <v>De Martin &amp; Gasparini Pumping Pty Ltd</v>
          </cell>
          <cell r="D679" t="str">
            <v>Cnr Bennelong Road &amp; Burroway Road</v>
          </cell>
          <cell r="E679" t="str">
            <v>Homebush Bay</v>
          </cell>
          <cell r="F679" t="str">
            <v>2140.</v>
          </cell>
          <cell r="G679" t="str">
            <v>New South Wales</v>
          </cell>
          <cell r="H679" t="str">
            <v>Australia</v>
          </cell>
          <cell r="I679" t="str">
            <v>Not Applicable</v>
          </cell>
          <cell r="J679">
            <v>0</v>
          </cell>
          <cell r="K679">
            <v>0</v>
          </cell>
          <cell r="L679">
            <v>0</v>
          </cell>
          <cell r="M679">
            <v>0</v>
          </cell>
          <cell r="N679">
            <v>0</v>
          </cell>
          <cell r="O679">
            <v>0</v>
          </cell>
        </row>
        <row r="680">
          <cell r="A680" t="str">
            <v>373</v>
          </cell>
          <cell r="B680" t="str">
            <v>DMG CONTRACTORS PTY LTD</v>
          </cell>
          <cell r="C680" t="str">
            <v>De Martin &amp; Gasparini Contractors P/L</v>
          </cell>
          <cell r="D680" t="str">
            <v>Cnr Bennelong Road &amp; Burroway Road</v>
          </cell>
          <cell r="E680" t="str">
            <v>Homebush Bay</v>
          </cell>
          <cell r="F680" t="str">
            <v>2140</v>
          </cell>
          <cell r="G680" t="str">
            <v>New South Wales</v>
          </cell>
          <cell r="H680" t="str">
            <v>Australia</v>
          </cell>
          <cell r="I680" t="str">
            <v>Not Applicable</v>
          </cell>
          <cell r="J680">
            <v>0</v>
          </cell>
          <cell r="K680">
            <v>0</v>
          </cell>
          <cell r="L680">
            <v>0</v>
          </cell>
          <cell r="M680">
            <v>0</v>
          </cell>
          <cell r="N680">
            <v>0</v>
          </cell>
          <cell r="O680">
            <v>0</v>
          </cell>
        </row>
        <row r="681">
          <cell r="A681" t="str">
            <v>381</v>
          </cell>
          <cell r="B681" t="str">
            <v>CEMENT NSW</v>
          </cell>
          <cell r="C681" t="str">
            <v>Blue Circle Southern Cement - Berrima</v>
          </cell>
          <cell r="D681" t="str">
            <v>Taylor Avenue</v>
          </cell>
          <cell r="E681" t="str">
            <v>Berrima</v>
          </cell>
          <cell r="F681" t="str">
            <v>2577</v>
          </cell>
          <cell r="G681" t="str">
            <v>New South Wales</v>
          </cell>
          <cell r="H681" t="str">
            <v>Australia</v>
          </cell>
          <cell r="I681" t="str">
            <v>Not Applicable</v>
          </cell>
          <cell r="J681">
            <v>14500000</v>
          </cell>
          <cell r="K681">
            <v>11750000</v>
          </cell>
          <cell r="L681">
            <v>475000000</v>
          </cell>
          <cell r="M681">
            <v>1000000</v>
          </cell>
          <cell r="N681">
            <v>83000000</v>
          </cell>
          <cell r="O681">
            <v>585250000</v>
          </cell>
        </row>
        <row r="682">
          <cell r="A682" t="str">
            <v>381</v>
          </cell>
          <cell r="B682" t="str">
            <v>CEMENT NSW</v>
          </cell>
          <cell r="C682" t="str">
            <v>Blue Circle Southern Cement - Kooragang - Newcastle</v>
          </cell>
          <cell r="D682" t="str">
            <v>100 Cormorant Rd</v>
          </cell>
          <cell r="E682" t="str">
            <v>Kooragang Island</v>
          </cell>
          <cell r="F682" t="str">
            <v>2304</v>
          </cell>
          <cell r="G682" t="str">
            <v>New South Wales</v>
          </cell>
          <cell r="H682" t="str">
            <v>Australia</v>
          </cell>
          <cell r="I682" t="str">
            <v>Not Applicable</v>
          </cell>
          <cell r="J682">
            <v>600000</v>
          </cell>
          <cell r="K682">
            <v>5000000</v>
          </cell>
          <cell r="L682">
            <v>25000000</v>
          </cell>
          <cell r="M682">
            <v>250000</v>
          </cell>
          <cell r="N682">
            <v>0</v>
          </cell>
          <cell r="O682">
            <v>30850000</v>
          </cell>
        </row>
        <row r="683">
          <cell r="A683" t="str">
            <v>381</v>
          </cell>
          <cell r="B683" t="str">
            <v>CEMENT NSW</v>
          </cell>
          <cell r="C683" t="str">
            <v>Blue Circle Southern Cement - Maldon - Wollongong</v>
          </cell>
          <cell r="E683" t="str">
            <v>Maldon via Picton</v>
          </cell>
          <cell r="F683" t="str">
            <v>2571</v>
          </cell>
          <cell r="G683" t="str">
            <v>New South Wales</v>
          </cell>
          <cell r="H683" t="str">
            <v>Australia</v>
          </cell>
          <cell r="I683" t="str">
            <v>Not Applicable</v>
          </cell>
          <cell r="J683">
            <v>2500000</v>
          </cell>
          <cell r="K683">
            <v>0</v>
          </cell>
          <cell r="L683">
            <v>3000000</v>
          </cell>
          <cell r="M683">
            <v>0</v>
          </cell>
          <cell r="N683">
            <v>0</v>
          </cell>
          <cell r="O683">
            <v>5500000</v>
          </cell>
        </row>
        <row r="684">
          <cell r="A684" t="str">
            <v>381</v>
          </cell>
          <cell r="B684" t="str">
            <v>CEMENT NSW</v>
          </cell>
          <cell r="C684" t="str">
            <v>Blue Circle Southern Cement - NSW</v>
          </cell>
          <cell r="D684" t="str">
            <v>Greystanes Road</v>
          </cell>
          <cell r="E684" t="str">
            <v>South Wentworthville</v>
          </cell>
          <cell r="F684" t="str">
            <v>2145</v>
          </cell>
          <cell r="G684" t="str">
            <v>New South Wales</v>
          </cell>
          <cell r="H684" t="str">
            <v>Australia</v>
          </cell>
          <cell r="I684" t="str">
            <v>Not Applicable</v>
          </cell>
          <cell r="J684">
            <v>2000000</v>
          </cell>
          <cell r="K684">
            <v>3000000</v>
          </cell>
          <cell r="L684">
            <v>5600000</v>
          </cell>
          <cell r="M684">
            <v>10000000</v>
          </cell>
          <cell r="N684">
            <v>3500000</v>
          </cell>
          <cell r="O684">
            <v>24100000</v>
          </cell>
        </row>
        <row r="685">
          <cell r="A685" t="str">
            <v>381</v>
          </cell>
          <cell r="B685" t="str">
            <v>CEMENT NSW</v>
          </cell>
          <cell r="C685" t="str">
            <v>Blue Circle Southern Cement - South Marulan</v>
          </cell>
          <cell r="E685" t="str">
            <v>Marulan South</v>
          </cell>
          <cell r="F685" t="str">
            <v>2580</v>
          </cell>
          <cell r="G685" t="str">
            <v>New South Wales</v>
          </cell>
          <cell r="H685" t="str">
            <v>Australia</v>
          </cell>
          <cell r="I685" t="str">
            <v>Not Applicable</v>
          </cell>
          <cell r="J685">
            <v>2300000</v>
          </cell>
          <cell r="K685">
            <v>3200000</v>
          </cell>
          <cell r="L685">
            <v>13600000</v>
          </cell>
          <cell r="M685">
            <v>12000000</v>
          </cell>
          <cell r="N685">
            <v>31900000</v>
          </cell>
          <cell r="O685">
            <v>63000000</v>
          </cell>
        </row>
        <row r="686">
          <cell r="A686" t="str">
            <v>381</v>
          </cell>
          <cell r="B686" t="str">
            <v>CEMENT NSW</v>
          </cell>
          <cell r="C686" t="str">
            <v>Blue Circle Southern Cement - Transport - Parramatta</v>
          </cell>
          <cell r="D686" t="str">
            <v>PO Box 42</v>
          </cell>
          <cell r="E686" t="str">
            <v>Wentworthville</v>
          </cell>
          <cell r="F686" t="str">
            <v>2145</v>
          </cell>
          <cell r="G686" t="str">
            <v>New South Wales</v>
          </cell>
          <cell r="H686" t="str">
            <v>Australia</v>
          </cell>
          <cell r="I686" t="str">
            <v>Not Applicable</v>
          </cell>
          <cell r="J686">
            <v>0</v>
          </cell>
          <cell r="K686">
            <v>0</v>
          </cell>
          <cell r="L686">
            <v>0</v>
          </cell>
          <cell r="M686">
            <v>0</v>
          </cell>
          <cell r="N686">
            <v>0</v>
          </cell>
          <cell r="O686">
            <v>0</v>
          </cell>
        </row>
        <row r="687">
          <cell r="A687" t="str">
            <v>382</v>
          </cell>
          <cell r="B687" t="str">
            <v>CEMENT VIC</v>
          </cell>
          <cell r="C687" t="str">
            <v>Blue Circle Southern Cement - Waurn Ponds</v>
          </cell>
          <cell r="D687" t="str">
            <v>Reservior Road</v>
          </cell>
          <cell r="E687" t="str">
            <v>Waurn Ponds</v>
          </cell>
          <cell r="F687" t="str">
            <v>3221</v>
          </cell>
          <cell r="G687" t="str">
            <v>Victoria</v>
          </cell>
          <cell r="H687" t="str">
            <v>Australia</v>
          </cell>
          <cell r="I687" t="str">
            <v>Not Applicable</v>
          </cell>
          <cell r="J687">
            <v>5845000</v>
          </cell>
          <cell r="K687">
            <v>2500000</v>
          </cell>
          <cell r="L687">
            <v>260000000</v>
          </cell>
          <cell r="M687">
            <v>9097000</v>
          </cell>
          <cell r="N687">
            <v>36467000</v>
          </cell>
          <cell r="O687">
            <v>313909000</v>
          </cell>
        </row>
        <row r="688">
          <cell r="A688" t="str">
            <v>388</v>
          </cell>
          <cell r="B688" t="str">
            <v>BC PACKAGING</v>
          </cell>
          <cell r="C688" t="str">
            <v>Blue Circle - Packaging</v>
          </cell>
          <cell r="D688" t="str">
            <v>Greystanes Road</v>
          </cell>
          <cell r="E688" t="str">
            <v>Greystanes</v>
          </cell>
          <cell r="F688" t="str">
            <v>2150</v>
          </cell>
          <cell r="G688" t="str">
            <v>New South Wales</v>
          </cell>
          <cell r="H688" t="str">
            <v>Australia</v>
          </cell>
          <cell r="I688" t="str">
            <v>Not Applicable</v>
          </cell>
          <cell r="J688">
            <v>600000</v>
          </cell>
          <cell r="K688">
            <v>1000000</v>
          </cell>
          <cell r="L688">
            <v>5000000</v>
          </cell>
          <cell r="M688">
            <v>300000</v>
          </cell>
          <cell r="N688">
            <v>5000000</v>
          </cell>
          <cell r="O688">
            <v>11900000</v>
          </cell>
        </row>
        <row r="689">
          <cell r="A689" t="str">
            <v>390</v>
          </cell>
          <cell r="B689" t="str">
            <v>ERINBROOK PTY LTD</v>
          </cell>
          <cell r="C689" t="str">
            <v>Erinbrook - Greystanes</v>
          </cell>
          <cell r="D689" t="str">
            <v>Greystanes Road</v>
          </cell>
          <cell r="E689" t="str">
            <v>Greystanes</v>
          </cell>
          <cell r="F689" t="str">
            <v>2145</v>
          </cell>
          <cell r="G689" t="str">
            <v>New South Wales</v>
          </cell>
          <cell r="H689" t="str">
            <v>Australia</v>
          </cell>
          <cell r="I689" t="str">
            <v>Not Applicable</v>
          </cell>
          <cell r="J689">
            <v>25000</v>
          </cell>
          <cell r="K689">
            <v>60000</v>
          </cell>
          <cell r="L689">
            <v>150000</v>
          </cell>
          <cell r="M689">
            <v>1600000</v>
          </cell>
          <cell r="N689">
            <v>2140000</v>
          </cell>
          <cell r="O689">
            <v>3975000</v>
          </cell>
        </row>
        <row r="690">
          <cell r="A690" t="str">
            <v>391</v>
          </cell>
          <cell r="B690" t="str">
            <v>FLYASH - EQUITY</v>
          </cell>
          <cell r="C690" t="str">
            <v>Flyash Australia - Crows Nest</v>
          </cell>
          <cell r="D690" t="str">
            <v>Flyash Australia</v>
          </cell>
          <cell r="E690" t="str">
            <v>Crow Nest</v>
          </cell>
          <cell r="F690" t="str">
            <v>2060</v>
          </cell>
          <cell r="G690" t="str">
            <v>New South Wales</v>
          </cell>
          <cell r="H690" t="str">
            <v>Australia</v>
          </cell>
          <cell r="I690" t="str">
            <v>Not Applicable</v>
          </cell>
          <cell r="J690">
            <v>6000</v>
          </cell>
          <cell r="K690">
            <v>0</v>
          </cell>
          <cell r="L690">
            <v>7500000</v>
          </cell>
          <cell r="M690">
            <v>0</v>
          </cell>
          <cell r="N690">
            <v>0</v>
          </cell>
          <cell r="O690">
            <v>7506000</v>
          </cell>
        </row>
        <row r="691">
          <cell r="A691" t="str">
            <v>853</v>
          </cell>
          <cell r="B691" t="str">
            <v>UNITED STATES TILE CO</v>
          </cell>
          <cell r="C691" t="str">
            <v>U S Tile Company</v>
          </cell>
          <cell r="D691" t="str">
            <v>909 Railroad St.</v>
          </cell>
          <cell r="E691" t="str">
            <v>Corona</v>
          </cell>
          <cell r="F691" t="str">
            <v>91720</v>
          </cell>
          <cell r="G691" t="str">
            <v>California</v>
          </cell>
          <cell r="H691" t="str">
            <v>United States of America</v>
          </cell>
          <cell r="I691" t="str">
            <v xml:space="preserve"> E </v>
          </cell>
          <cell r="J691">
            <v>7500000</v>
          </cell>
          <cell r="K691">
            <v>18325000</v>
          </cell>
          <cell r="L691">
            <v>3400000</v>
          </cell>
          <cell r="M691">
            <v>850000</v>
          </cell>
          <cell r="N691">
            <v>17760000</v>
          </cell>
          <cell r="O691">
            <v>47835000</v>
          </cell>
        </row>
        <row r="692">
          <cell r="A692" t="str">
            <v>857</v>
          </cell>
          <cell r="B692" t="str">
            <v>BORAL BRICKS INC</v>
          </cell>
          <cell r="C692" t="str">
            <v>Anniston - Bricks</v>
          </cell>
          <cell r="D692" t="str">
            <v>4103 Saks Rd</v>
          </cell>
          <cell r="E692" t="str">
            <v>Anniston</v>
          </cell>
          <cell r="F692" t="str">
            <v>36201</v>
          </cell>
          <cell r="G692" t="str">
            <v>Alabama</v>
          </cell>
          <cell r="H692" t="str">
            <v>United States of America</v>
          </cell>
          <cell r="I692" t="str">
            <v>USE4</v>
          </cell>
          <cell r="J692">
            <v>277700</v>
          </cell>
          <cell r="K692">
            <v>740700</v>
          </cell>
          <cell r="L692">
            <v>37000</v>
          </cell>
          <cell r="M692">
            <v>92500</v>
          </cell>
          <cell r="N692">
            <v>1111100</v>
          </cell>
          <cell r="O692">
            <v>2259000</v>
          </cell>
        </row>
        <row r="693">
          <cell r="A693" t="str">
            <v>857</v>
          </cell>
          <cell r="B693" t="str">
            <v>BORAL BRICKS INC</v>
          </cell>
          <cell r="C693" t="str">
            <v>Augusta - Ga/Carolina</v>
          </cell>
          <cell r="D693" t="str">
            <v>1449 Doug Bernard Parkway</v>
          </cell>
          <cell r="E693" t="str">
            <v>Augusta</v>
          </cell>
          <cell r="F693" t="str">
            <v>30906</v>
          </cell>
          <cell r="G693" t="str">
            <v>Georgia</v>
          </cell>
          <cell r="H693" t="str">
            <v>United States of America</v>
          </cell>
          <cell r="I693" t="str">
            <v>USE4</v>
          </cell>
          <cell r="J693">
            <v>2777700</v>
          </cell>
          <cell r="K693">
            <v>4629600</v>
          </cell>
          <cell r="L693">
            <v>20370300</v>
          </cell>
          <cell r="M693">
            <v>462900</v>
          </cell>
          <cell r="N693">
            <v>7407400</v>
          </cell>
          <cell r="O693">
            <v>35647900</v>
          </cell>
        </row>
        <row r="694">
          <cell r="A694" t="str">
            <v>857</v>
          </cell>
          <cell r="B694" t="str">
            <v>BORAL BRICKS INC</v>
          </cell>
          <cell r="C694" t="str">
            <v>Augusta - Merry</v>
          </cell>
          <cell r="D694" t="str">
            <v>1630 Arthern Rd</v>
          </cell>
          <cell r="E694" t="str">
            <v>Augusta</v>
          </cell>
          <cell r="F694" t="str">
            <v>30901</v>
          </cell>
          <cell r="G694" t="str">
            <v>Georgia</v>
          </cell>
          <cell r="H694" t="str">
            <v>United States of America</v>
          </cell>
          <cell r="I694" t="str">
            <v>USE4</v>
          </cell>
          <cell r="J694">
            <v>9259200</v>
          </cell>
          <cell r="K694">
            <v>21129600</v>
          </cell>
          <cell r="L694">
            <v>66666600</v>
          </cell>
          <cell r="M694">
            <v>3703700</v>
          </cell>
          <cell r="N694">
            <v>25925900</v>
          </cell>
          <cell r="O694">
            <v>126685000</v>
          </cell>
        </row>
        <row r="695">
          <cell r="A695" t="str">
            <v>857</v>
          </cell>
          <cell r="B695" t="str">
            <v>BORAL BRICKS INC</v>
          </cell>
          <cell r="C695" t="str">
            <v>Bessemer Plant 5 - Bricks Inc</v>
          </cell>
          <cell r="D695" t="str">
            <v>Vulcan Rd</v>
          </cell>
          <cell r="E695" t="str">
            <v>Bessemer</v>
          </cell>
          <cell r="F695" t="str">
            <v>35021</v>
          </cell>
          <cell r="G695" t="str">
            <v>Alabama</v>
          </cell>
          <cell r="H695" t="str">
            <v>United States of America</v>
          </cell>
          <cell r="I695" t="str">
            <v>USE4</v>
          </cell>
          <cell r="J695">
            <v>2222200</v>
          </cell>
          <cell r="K695">
            <v>4629600</v>
          </cell>
          <cell r="L695">
            <v>18518500</v>
          </cell>
          <cell r="M695">
            <v>462900</v>
          </cell>
          <cell r="N695">
            <v>7407400</v>
          </cell>
          <cell r="O695">
            <v>33240600</v>
          </cell>
        </row>
        <row r="696">
          <cell r="A696" t="str">
            <v>857</v>
          </cell>
          <cell r="B696" t="str">
            <v>BORAL BRICKS INC</v>
          </cell>
          <cell r="C696" t="str">
            <v>Bessemer Plant 6 - Bricks Inc</v>
          </cell>
          <cell r="D696" t="str">
            <v>Hopewell Rd</v>
          </cell>
          <cell r="E696" t="str">
            <v>Bessemer</v>
          </cell>
          <cell r="F696" t="str">
            <v>35021</v>
          </cell>
          <cell r="G696" t="str">
            <v>Alabama</v>
          </cell>
          <cell r="H696" t="str">
            <v>United States of America</v>
          </cell>
          <cell r="I696" t="str">
            <v>USE4</v>
          </cell>
          <cell r="J696">
            <v>2222200</v>
          </cell>
          <cell r="K696">
            <v>4629600</v>
          </cell>
          <cell r="L696">
            <v>18518500</v>
          </cell>
          <cell r="M696">
            <v>462900</v>
          </cell>
          <cell r="N696">
            <v>7407400</v>
          </cell>
          <cell r="O696">
            <v>33240600</v>
          </cell>
        </row>
        <row r="697">
          <cell r="A697" t="str">
            <v>857</v>
          </cell>
          <cell r="B697" t="str">
            <v>BORAL BRICKS INC</v>
          </cell>
          <cell r="C697" t="str">
            <v>Bickerstaff Plant - Block</v>
          </cell>
          <cell r="D697" t="str">
            <v>1415  Brickyard Rd</v>
          </cell>
          <cell r="E697" t="str">
            <v>Phoenix City</v>
          </cell>
          <cell r="F697" t="str">
            <v>36869</v>
          </cell>
          <cell r="G697" t="str">
            <v>Alabama</v>
          </cell>
          <cell r="H697" t="str">
            <v>United States of America</v>
          </cell>
          <cell r="I697" t="str">
            <v>USE4</v>
          </cell>
          <cell r="J697">
            <v>740700</v>
          </cell>
          <cell r="K697">
            <v>833300</v>
          </cell>
          <cell r="L697">
            <v>3703700</v>
          </cell>
          <cell r="M697">
            <v>277700</v>
          </cell>
          <cell r="N697">
            <v>1851800</v>
          </cell>
          <cell r="O697">
            <v>7407200</v>
          </cell>
        </row>
        <row r="698">
          <cell r="A698" t="str">
            <v>857</v>
          </cell>
          <cell r="B698" t="str">
            <v>BORAL BRICKS INC</v>
          </cell>
          <cell r="C698" t="str">
            <v>Bickerstaff Plant 12/14</v>
          </cell>
          <cell r="D698" t="str">
            <v>100  Brickyard Rd</v>
          </cell>
          <cell r="E698" t="str">
            <v>Phoenix City</v>
          </cell>
          <cell r="F698" t="str">
            <v>36869</v>
          </cell>
          <cell r="G698" t="str">
            <v>Alabama</v>
          </cell>
          <cell r="H698" t="str">
            <v>United States of America</v>
          </cell>
          <cell r="I698" t="str">
            <v>USE4</v>
          </cell>
          <cell r="J698">
            <v>1851800</v>
          </cell>
          <cell r="K698">
            <v>4814800</v>
          </cell>
          <cell r="L698">
            <v>11111100</v>
          </cell>
          <cell r="M698">
            <v>370300</v>
          </cell>
          <cell r="N698">
            <v>5555500</v>
          </cell>
          <cell r="O698">
            <v>23703500</v>
          </cell>
        </row>
        <row r="699">
          <cell r="A699" t="str">
            <v>857</v>
          </cell>
          <cell r="B699" t="str">
            <v>BORAL BRICKS INC</v>
          </cell>
          <cell r="C699" t="str">
            <v>Bickerstaff Plant 32</v>
          </cell>
          <cell r="D699" t="str">
            <v>100 Brickyard Rd</v>
          </cell>
          <cell r="E699" t="str">
            <v>Phoenix City</v>
          </cell>
          <cell r="F699" t="str">
            <v>36869</v>
          </cell>
          <cell r="G699" t="str">
            <v>Alabama</v>
          </cell>
          <cell r="H699" t="str">
            <v>United States of America</v>
          </cell>
          <cell r="I699" t="str">
            <v>USE4</v>
          </cell>
          <cell r="J699">
            <v>1851800</v>
          </cell>
          <cell r="K699">
            <v>3703700</v>
          </cell>
          <cell r="L699">
            <v>9259200</v>
          </cell>
          <cell r="M699">
            <v>370300</v>
          </cell>
          <cell r="N699">
            <v>9259200</v>
          </cell>
          <cell r="O699">
            <v>24444200</v>
          </cell>
        </row>
        <row r="700">
          <cell r="A700" t="str">
            <v>857</v>
          </cell>
          <cell r="B700" t="str">
            <v>BORAL BRICKS INC</v>
          </cell>
          <cell r="C700" t="str">
            <v>Bickerstaff Plant 41/42</v>
          </cell>
          <cell r="D700" t="str">
            <v>1501 Brickyard Rd</v>
          </cell>
          <cell r="E700" t="str">
            <v>Phoenix City</v>
          </cell>
          <cell r="F700" t="str">
            <v>36869</v>
          </cell>
          <cell r="G700" t="str">
            <v>Alabama</v>
          </cell>
          <cell r="H700" t="str">
            <v>United States of America</v>
          </cell>
          <cell r="I700" t="str">
            <v>USE4</v>
          </cell>
          <cell r="J700">
            <v>2777700</v>
          </cell>
          <cell r="K700">
            <v>5555500</v>
          </cell>
          <cell r="L700">
            <v>12962900</v>
          </cell>
          <cell r="M700">
            <v>1851800</v>
          </cell>
          <cell r="N700">
            <v>9259200</v>
          </cell>
          <cell r="O700">
            <v>32407100</v>
          </cell>
        </row>
        <row r="701">
          <cell r="A701" t="str">
            <v>857</v>
          </cell>
          <cell r="B701" t="str">
            <v>BORAL BRICKS INC</v>
          </cell>
          <cell r="C701" t="str">
            <v>Carrollton</v>
          </cell>
          <cell r="D701" t="str">
            <v>1400  N Broadway St</v>
          </cell>
          <cell r="E701" t="str">
            <v>Carrollton</v>
          </cell>
          <cell r="F701" t="str">
            <v>75006</v>
          </cell>
          <cell r="G701" t="str">
            <v>Texas</v>
          </cell>
          <cell r="H701" t="str">
            <v>United States of America</v>
          </cell>
          <cell r="I701" t="str">
            <v>USE4</v>
          </cell>
          <cell r="J701">
            <v>1666600</v>
          </cell>
          <cell r="K701">
            <v>888800</v>
          </cell>
          <cell r="L701">
            <v>166600</v>
          </cell>
          <cell r="M701">
            <v>111100</v>
          </cell>
          <cell r="N701">
            <v>2222200</v>
          </cell>
          <cell r="O701">
            <v>5055300</v>
          </cell>
        </row>
        <row r="702">
          <cell r="A702" t="str">
            <v>857</v>
          </cell>
          <cell r="B702" t="str">
            <v>BORAL BRICKS INC</v>
          </cell>
          <cell r="C702" t="str">
            <v>Charleston Studio</v>
          </cell>
          <cell r="D702" t="str">
            <v>730 Coleman Blvd Unit 1</v>
          </cell>
          <cell r="E702" t="str">
            <v>Mt. Pleasant</v>
          </cell>
          <cell r="F702" t="str">
            <v>29464</v>
          </cell>
          <cell r="G702" t="str">
            <v>South Carolina</v>
          </cell>
          <cell r="H702" t="str">
            <v>United States of America</v>
          </cell>
          <cell r="I702" t="str">
            <v>USE4</v>
          </cell>
          <cell r="J702">
            <v>0</v>
          </cell>
          <cell r="K702">
            <v>0</v>
          </cell>
          <cell r="L702">
            <v>185100</v>
          </cell>
          <cell r="M702">
            <v>0</v>
          </cell>
          <cell r="N702">
            <v>0</v>
          </cell>
          <cell r="O702">
            <v>185100</v>
          </cell>
        </row>
        <row r="703">
          <cell r="A703" t="str">
            <v>857</v>
          </cell>
          <cell r="B703" t="str">
            <v>BORAL BRICKS INC</v>
          </cell>
          <cell r="C703" t="str">
            <v>Charlotte Distribution</v>
          </cell>
          <cell r="D703" t="str">
            <v>5601 N Sharon Amity</v>
          </cell>
          <cell r="E703" t="str">
            <v>Charlotte</v>
          </cell>
          <cell r="F703" t="str">
            <v>28215</v>
          </cell>
          <cell r="G703" t="str">
            <v>North Carolina</v>
          </cell>
          <cell r="H703" t="str">
            <v>United States of America</v>
          </cell>
          <cell r="I703" t="str">
            <v>USE4</v>
          </cell>
          <cell r="J703">
            <v>185100</v>
          </cell>
          <cell r="K703">
            <v>370300</v>
          </cell>
          <cell r="L703">
            <v>185100</v>
          </cell>
          <cell r="M703">
            <v>46200</v>
          </cell>
          <cell r="N703">
            <v>4629600</v>
          </cell>
          <cell r="O703">
            <v>5416300</v>
          </cell>
        </row>
        <row r="704">
          <cell r="A704" t="str">
            <v>857</v>
          </cell>
          <cell r="B704" t="str">
            <v>BORAL BRICKS INC</v>
          </cell>
          <cell r="C704" t="str">
            <v>College Station</v>
          </cell>
          <cell r="D704" t="str">
            <v>101-b Loop Fm 2818</v>
          </cell>
          <cell r="E704" t="str">
            <v>College Station</v>
          </cell>
          <cell r="F704" t="str">
            <v>77840</v>
          </cell>
          <cell r="G704" t="str">
            <v>Texas</v>
          </cell>
          <cell r="H704" t="str">
            <v>United States of America</v>
          </cell>
          <cell r="I704" t="str">
            <v>USE4</v>
          </cell>
          <cell r="J704">
            <v>185100</v>
          </cell>
          <cell r="K704">
            <v>0</v>
          </cell>
          <cell r="L704">
            <v>46200</v>
          </cell>
          <cell r="M704">
            <v>0</v>
          </cell>
          <cell r="N704">
            <v>1111100</v>
          </cell>
          <cell r="O704">
            <v>1342400</v>
          </cell>
        </row>
        <row r="705">
          <cell r="A705" t="str">
            <v>857</v>
          </cell>
          <cell r="B705" t="str">
            <v>BORAL BRICKS INC</v>
          </cell>
          <cell r="C705" t="str">
            <v>Conroe</v>
          </cell>
          <cell r="D705" t="str">
            <v>212 N Loop 336 E</v>
          </cell>
          <cell r="E705" t="str">
            <v>Conroe</v>
          </cell>
          <cell r="F705" t="str">
            <v>77301</v>
          </cell>
          <cell r="G705" t="str">
            <v>Texas</v>
          </cell>
          <cell r="H705" t="str">
            <v>United States of America</v>
          </cell>
          <cell r="I705" t="str">
            <v>USE4</v>
          </cell>
          <cell r="J705">
            <v>1481400</v>
          </cell>
          <cell r="K705">
            <v>0</v>
          </cell>
          <cell r="L705">
            <v>46200</v>
          </cell>
          <cell r="M705">
            <v>0</v>
          </cell>
          <cell r="N705">
            <v>2222200</v>
          </cell>
          <cell r="O705">
            <v>3749800</v>
          </cell>
        </row>
        <row r="706">
          <cell r="A706" t="str">
            <v>857</v>
          </cell>
          <cell r="B706" t="str">
            <v>BORAL BRICKS INC</v>
          </cell>
          <cell r="C706" t="str">
            <v>Gleason</v>
          </cell>
          <cell r="D706" t="str">
            <v>Old Hwy 22</v>
          </cell>
          <cell r="E706" t="str">
            <v>Gleason</v>
          </cell>
          <cell r="F706" t="str">
            <v>38229</v>
          </cell>
          <cell r="G706" t="str">
            <v>Tennesse</v>
          </cell>
          <cell r="H706" t="str">
            <v>United States of America</v>
          </cell>
          <cell r="I706" t="str">
            <v>USE4</v>
          </cell>
          <cell r="J706">
            <v>1851800</v>
          </cell>
          <cell r="K706">
            <v>4444400</v>
          </cell>
          <cell r="L706">
            <v>16666600</v>
          </cell>
          <cell r="M706">
            <v>370300</v>
          </cell>
          <cell r="N706">
            <v>5185100</v>
          </cell>
          <cell r="O706">
            <v>28518200</v>
          </cell>
        </row>
        <row r="707">
          <cell r="A707" t="str">
            <v>857</v>
          </cell>
          <cell r="B707" t="str">
            <v>BORAL BRICKS INC</v>
          </cell>
          <cell r="C707" t="str">
            <v>Greenville</v>
          </cell>
          <cell r="D707" t="str">
            <v>300 Airport Rd</v>
          </cell>
          <cell r="E707" t="str">
            <v>Greenville</v>
          </cell>
          <cell r="F707" t="str">
            <v>29607</v>
          </cell>
          <cell r="G707" t="str">
            <v>South Carolina</v>
          </cell>
          <cell r="H707" t="str">
            <v>United States of America</v>
          </cell>
          <cell r="I707" t="str">
            <v>USE4</v>
          </cell>
          <cell r="J707">
            <v>648100</v>
          </cell>
          <cell r="K707">
            <v>555500</v>
          </cell>
          <cell r="L707">
            <v>92500</v>
          </cell>
          <cell r="M707">
            <v>138800</v>
          </cell>
          <cell r="N707">
            <v>2222200</v>
          </cell>
          <cell r="O707">
            <v>3657100</v>
          </cell>
        </row>
        <row r="708">
          <cell r="A708" t="str">
            <v>857</v>
          </cell>
          <cell r="B708" t="str">
            <v>BORAL BRICKS INC</v>
          </cell>
          <cell r="C708" t="str">
            <v>Gulfport</v>
          </cell>
          <cell r="D708" t="str">
            <v>1526  29th Ave</v>
          </cell>
          <cell r="E708" t="str">
            <v>Gulfport</v>
          </cell>
          <cell r="F708" t="str">
            <v>39501</v>
          </cell>
          <cell r="G708" t="str">
            <v>Mississippi</v>
          </cell>
          <cell r="H708" t="str">
            <v>United States of America</v>
          </cell>
          <cell r="I708" t="str">
            <v>USE4</v>
          </cell>
          <cell r="J708">
            <v>555500</v>
          </cell>
          <cell r="K708">
            <v>324000</v>
          </cell>
          <cell r="L708">
            <v>148100</v>
          </cell>
          <cell r="M708">
            <v>92500</v>
          </cell>
          <cell r="N708">
            <v>2222200</v>
          </cell>
          <cell r="O708">
            <v>3342300</v>
          </cell>
        </row>
        <row r="709">
          <cell r="A709" t="str">
            <v>857</v>
          </cell>
          <cell r="B709" t="str">
            <v>BORAL BRICKS INC</v>
          </cell>
          <cell r="C709" t="str">
            <v>Hattiesburg</v>
          </cell>
          <cell r="D709" t="str">
            <v>2600 Lakeview Dr</v>
          </cell>
          <cell r="E709" t="str">
            <v>Hattiesburg</v>
          </cell>
          <cell r="F709" t="str">
            <v>39404</v>
          </cell>
          <cell r="G709" t="str">
            <v>Mississippi</v>
          </cell>
          <cell r="H709" t="str">
            <v>United States of America</v>
          </cell>
          <cell r="I709" t="str">
            <v>USE4</v>
          </cell>
          <cell r="J709">
            <v>0</v>
          </cell>
          <cell r="K709">
            <v>92500</v>
          </cell>
          <cell r="L709">
            <v>0</v>
          </cell>
          <cell r="M709">
            <v>0</v>
          </cell>
          <cell r="N709">
            <v>0</v>
          </cell>
          <cell r="O709">
            <v>92500</v>
          </cell>
        </row>
        <row r="710">
          <cell r="A710" t="str">
            <v>857</v>
          </cell>
          <cell r="B710" t="str">
            <v>BORAL BRICKS INC</v>
          </cell>
          <cell r="C710" t="str">
            <v>Henderson</v>
          </cell>
          <cell r="D710" t="str">
            <v>1309 Kilgore Dr</v>
          </cell>
          <cell r="E710" t="str">
            <v>Henderson</v>
          </cell>
          <cell r="F710" t="str">
            <v>75653</v>
          </cell>
          <cell r="G710" t="str">
            <v>Texas</v>
          </cell>
          <cell r="H710" t="str">
            <v>United States of America</v>
          </cell>
          <cell r="I710" t="str">
            <v>USE4</v>
          </cell>
          <cell r="J710">
            <v>4629600</v>
          </cell>
          <cell r="K710">
            <v>9259200</v>
          </cell>
          <cell r="L710">
            <v>37037000</v>
          </cell>
          <cell r="M710">
            <v>370300</v>
          </cell>
          <cell r="N710">
            <v>12962900</v>
          </cell>
          <cell r="O710">
            <v>64259000</v>
          </cell>
        </row>
        <row r="711">
          <cell r="A711" t="str">
            <v>857</v>
          </cell>
          <cell r="B711" t="str">
            <v>BORAL BRICKS INC</v>
          </cell>
          <cell r="C711" t="str">
            <v>Houston</v>
          </cell>
          <cell r="D711" t="str">
            <v>5611 Kelly St</v>
          </cell>
          <cell r="E711" t="str">
            <v>Houston</v>
          </cell>
          <cell r="F711" t="str">
            <v>77026</v>
          </cell>
          <cell r="G711" t="str">
            <v>Texas</v>
          </cell>
          <cell r="H711" t="str">
            <v>United States of America</v>
          </cell>
          <cell r="I711" t="str">
            <v>USE4</v>
          </cell>
          <cell r="J711">
            <v>1666600</v>
          </cell>
          <cell r="K711">
            <v>648100</v>
          </cell>
          <cell r="L711">
            <v>92500</v>
          </cell>
          <cell r="M711">
            <v>92500</v>
          </cell>
          <cell r="N711">
            <v>2222200</v>
          </cell>
          <cell r="O711">
            <v>4721900</v>
          </cell>
        </row>
        <row r="712">
          <cell r="A712" t="str">
            <v>857</v>
          </cell>
          <cell r="B712" t="str">
            <v>BORAL BRICKS INC</v>
          </cell>
          <cell r="C712" t="str">
            <v>Laurel</v>
          </cell>
          <cell r="D712" t="str">
            <v>1 Brickyard Dr</v>
          </cell>
          <cell r="E712" t="str">
            <v>Laurel</v>
          </cell>
          <cell r="F712" t="str">
            <v>39440</v>
          </cell>
          <cell r="G712" t="str">
            <v>Mississippi</v>
          </cell>
          <cell r="H712" t="str">
            <v>United States of America</v>
          </cell>
          <cell r="I712" t="str">
            <v>USE4</v>
          </cell>
          <cell r="J712">
            <v>925900</v>
          </cell>
          <cell r="K712">
            <v>555500</v>
          </cell>
          <cell r="L712">
            <v>92500</v>
          </cell>
          <cell r="M712">
            <v>231400</v>
          </cell>
          <cell r="N712">
            <v>2222200</v>
          </cell>
          <cell r="O712">
            <v>4027500</v>
          </cell>
        </row>
        <row r="713">
          <cell r="A713" t="str">
            <v>857</v>
          </cell>
          <cell r="B713" t="str">
            <v>BORAL BRICKS INC</v>
          </cell>
          <cell r="C713" t="str">
            <v>Lexington Office</v>
          </cell>
          <cell r="D713" t="str">
            <v>Us 1 &amp; Brickyard Dr</v>
          </cell>
          <cell r="E713" t="str">
            <v>Lexington</v>
          </cell>
          <cell r="F713" t="str">
            <v>29072</v>
          </cell>
          <cell r="G713" t="str">
            <v>South Carolina</v>
          </cell>
          <cell r="H713" t="str">
            <v>United States of America</v>
          </cell>
          <cell r="I713" t="str">
            <v>USE4</v>
          </cell>
          <cell r="J713">
            <v>0</v>
          </cell>
          <cell r="K713">
            <v>240700</v>
          </cell>
          <cell r="L713">
            <v>138800</v>
          </cell>
          <cell r="M713">
            <v>0</v>
          </cell>
          <cell r="N713">
            <v>0</v>
          </cell>
          <cell r="O713">
            <v>379500</v>
          </cell>
        </row>
        <row r="714">
          <cell r="A714" t="str">
            <v>857</v>
          </cell>
          <cell r="B714" t="str">
            <v>BORAL BRICKS INC</v>
          </cell>
          <cell r="C714" t="str">
            <v>Lexington Plant</v>
          </cell>
          <cell r="D714" t="str">
            <v>Freon Rd</v>
          </cell>
          <cell r="E714" t="str">
            <v>Lexington</v>
          </cell>
          <cell r="F714" t="str">
            <v>29072</v>
          </cell>
          <cell r="G714" t="str">
            <v>South Carolina</v>
          </cell>
          <cell r="H714" t="str">
            <v>United States of America</v>
          </cell>
          <cell r="I714" t="str">
            <v>USE4</v>
          </cell>
          <cell r="J714">
            <v>2222200</v>
          </cell>
          <cell r="K714">
            <v>4629600</v>
          </cell>
          <cell r="L714">
            <v>14814800</v>
          </cell>
          <cell r="M714">
            <v>462900</v>
          </cell>
          <cell r="N714">
            <v>4629600</v>
          </cell>
          <cell r="O714">
            <v>26759100</v>
          </cell>
        </row>
        <row r="715">
          <cell r="A715" t="str">
            <v>857</v>
          </cell>
          <cell r="B715" t="str">
            <v>BORAL BRICKS INC</v>
          </cell>
          <cell r="C715" t="str">
            <v>Lowell</v>
          </cell>
          <cell r="D715" t="str">
            <v>320  N Bloomington</v>
          </cell>
          <cell r="E715" t="str">
            <v>Lowell</v>
          </cell>
          <cell r="F715" t="str">
            <v>72745</v>
          </cell>
          <cell r="G715" t="str">
            <v>Arizona</v>
          </cell>
          <cell r="H715" t="str">
            <v>United States of America</v>
          </cell>
          <cell r="I715" t="str">
            <v>USE4</v>
          </cell>
          <cell r="J715">
            <v>0</v>
          </cell>
          <cell r="K715">
            <v>0</v>
          </cell>
          <cell r="L715">
            <v>55500</v>
          </cell>
          <cell r="M715">
            <v>0</v>
          </cell>
          <cell r="N715">
            <v>0</v>
          </cell>
          <cell r="O715">
            <v>55500</v>
          </cell>
        </row>
        <row r="716">
          <cell r="A716" t="str">
            <v>857</v>
          </cell>
          <cell r="B716" t="str">
            <v>BORAL BRICKS INC</v>
          </cell>
          <cell r="C716" t="str">
            <v>Macon</v>
          </cell>
          <cell r="D716" t="str">
            <v>711  10th St</v>
          </cell>
          <cell r="E716" t="str">
            <v>Macon</v>
          </cell>
          <cell r="F716" t="str">
            <v>31208</v>
          </cell>
          <cell r="G716" t="str">
            <v>Georgia</v>
          </cell>
          <cell r="H716" t="str">
            <v>United States of America</v>
          </cell>
          <cell r="I716" t="str">
            <v>USE4</v>
          </cell>
          <cell r="J716">
            <v>1851800</v>
          </cell>
          <cell r="K716">
            <v>3888800</v>
          </cell>
          <cell r="L716">
            <v>7407400</v>
          </cell>
          <cell r="M716">
            <v>370300</v>
          </cell>
          <cell r="N716">
            <v>4444400</v>
          </cell>
          <cell r="O716">
            <v>17962700</v>
          </cell>
        </row>
        <row r="717">
          <cell r="A717" t="str">
            <v>857</v>
          </cell>
          <cell r="B717" t="str">
            <v>BORAL BRICKS INC</v>
          </cell>
          <cell r="C717" t="str">
            <v>Macon</v>
          </cell>
          <cell r="D717" t="str">
            <v>Hwy 14 West</v>
          </cell>
          <cell r="E717" t="str">
            <v>Macon</v>
          </cell>
          <cell r="F717" t="str">
            <v>39341</v>
          </cell>
          <cell r="G717" t="str">
            <v>Mississippi</v>
          </cell>
          <cell r="H717" t="str">
            <v>United States of America</v>
          </cell>
          <cell r="I717" t="str">
            <v>USE4</v>
          </cell>
          <cell r="J717">
            <v>4259200</v>
          </cell>
          <cell r="K717">
            <v>4444400</v>
          </cell>
          <cell r="L717">
            <v>12962900</v>
          </cell>
          <cell r="M717">
            <v>1111100</v>
          </cell>
          <cell r="N717">
            <v>2777700</v>
          </cell>
          <cell r="O717">
            <v>25555300</v>
          </cell>
        </row>
        <row r="718">
          <cell r="A718" t="str">
            <v>857</v>
          </cell>
          <cell r="B718" t="str">
            <v>BORAL BRICKS INC</v>
          </cell>
          <cell r="C718" t="str">
            <v>Martinez Studio</v>
          </cell>
          <cell r="D718" t="str">
            <v>123 Davis Rd</v>
          </cell>
          <cell r="E718" t="str">
            <v>Martinez</v>
          </cell>
          <cell r="F718" t="str">
            <v>30907</v>
          </cell>
          <cell r="G718" t="str">
            <v>Georgia</v>
          </cell>
          <cell r="H718" t="str">
            <v>United States of America</v>
          </cell>
          <cell r="I718" t="str">
            <v>USE4</v>
          </cell>
          <cell r="J718">
            <v>0</v>
          </cell>
          <cell r="K718">
            <v>0</v>
          </cell>
          <cell r="L718">
            <v>92500</v>
          </cell>
          <cell r="M718">
            <v>0</v>
          </cell>
          <cell r="N718">
            <v>0</v>
          </cell>
          <cell r="O718">
            <v>92500</v>
          </cell>
        </row>
        <row r="719">
          <cell r="A719" t="str">
            <v>857</v>
          </cell>
          <cell r="B719" t="str">
            <v>BORAL BRICKS INC</v>
          </cell>
          <cell r="C719" t="str">
            <v>Memphis</v>
          </cell>
          <cell r="D719" t="str">
            <v>1066 North Hollywood St</v>
          </cell>
          <cell r="E719" t="str">
            <v>Memphis</v>
          </cell>
          <cell r="F719" t="str">
            <v>38108</v>
          </cell>
          <cell r="G719" t="str">
            <v>Tennesse</v>
          </cell>
          <cell r="H719" t="str">
            <v>United States of America</v>
          </cell>
          <cell r="I719" t="str">
            <v>USE4</v>
          </cell>
          <cell r="J719">
            <v>1296200</v>
          </cell>
          <cell r="K719">
            <v>416600</v>
          </cell>
          <cell r="L719">
            <v>601800</v>
          </cell>
          <cell r="M719">
            <v>138800</v>
          </cell>
          <cell r="N719">
            <v>2222200</v>
          </cell>
          <cell r="O719">
            <v>4675600</v>
          </cell>
        </row>
        <row r="720">
          <cell r="A720" t="str">
            <v>857</v>
          </cell>
          <cell r="B720" t="str">
            <v>BORAL BRICKS INC</v>
          </cell>
          <cell r="C720" t="str">
            <v>Memphis Studio</v>
          </cell>
          <cell r="D720" t="str">
            <v>8110 Dexter Rd</v>
          </cell>
          <cell r="E720" t="str">
            <v>Cordova</v>
          </cell>
          <cell r="F720" t="str">
            <v>38018</v>
          </cell>
          <cell r="G720" t="str">
            <v>Tennesse</v>
          </cell>
          <cell r="H720" t="str">
            <v>United States of America</v>
          </cell>
          <cell r="I720" t="str">
            <v>USE4</v>
          </cell>
          <cell r="J720">
            <v>0</v>
          </cell>
          <cell r="K720">
            <v>0</v>
          </cell>
          <cell r="L720">
            <v>222200</v>
          </cell>
          <cell r="M720">
            <v>0</v>
          </cell>
          <cell r="N720">
            <v>0</v>
          </cell>
          <cell r="O720">
            <v>222200</v>
          </cell>
        </row>
        <row r="721">
          <cell r="A721" t="str">
            <v>857</v>
          </cell>
          <cell r="B721" t="str">
            <v>BORAL BRICKS INC</v>
          </cell>
          <cell r="C721" t="str">
            <v>Meridian</v>
          </cell>
          <cell r="D721" t="str">
            <v>729  Front St Ext</v>
          </cell>
          <cell r="E721" t="str">
            <v>Meridian</v>
          </cell>
          <cell r="F721" t="str">
            <v>39301</v>
          </cell>
          <cell r="G721" t="str">
            <v>Mississippi</v>
          </cell>
          <cell r="H721" t="str">
            <v>United States of America</v>
          </cell>
          <cell r="I721" t="str">
            <v>USE4</v>
          </cell>
          <cell r="J721">
            <v>0</v>
          </cell>
          <cell r="K721">
            <v>0</v>
          </cell>
          <cell r="L721">
            <v>92500</v>
          </cell>
          <cell r="M721">
            <v>0</v>
          </cell>
          <cell r="N721">
            <v>0</v>
          </cell>
          <cell r="O721">
            <v>92500</v>
          </cell>
        </row>
        <row r="722">
          <cell r="A722" t="str">
            <v>857</v>
          </cell>
          <cell r="B722" t="str">
            <v>BORAL BRICKS INC</v>
          </cell>
          <cell r="C722" t="str">
            <v>Muskogee</v>
          </cell>
          <cell r="D722" t="str">
            <v>3101 W 53rd St</v>
          </cell>
          <cell r="E722" t="str">
            <v>Muskogee</v>
          </cell>
          <cell r="F722" t="str">
            <v>74401</v>
          </cell>
          <cell r="G722" t="str">
            <v>Oklahoma</v>
          </cell>
          <cell r="H722" t="str">
            <v>United States of America</v>
          </cell>
          <cell r="I722" t="str">
            <v>USE4</v>
          </cell>
          <cell r="J722">
            <v>3888800</v>
          </cell>
          <cell r="K722">
            <v>5555500</v>
          </cell>
          <cell r="L722">
            <v>25925900</v>
          </cell>
          <cell r="M722">
            <v>92500</v>
          </cell>
          <cell r="N722">
            <v>9259200</v>
          </cell>
          <cell r="O722">
            <v>44721900</v>
          </cell>
        </row>
        <row r="723">
          <cell r="A723" t="str">
            <v>857</v>
          </cell>
          <cell r="B723" t="str">
            <v>BORAL BRICKS INC</v>
          </cell>
          <cell r="C723" t="str">
            <v>Oklahoma Studio</v>
          </cell>
          <cell r="D723" t="str">
            <v>2912 Hefner Rd West</v>
          </cell>
          <cell r="E723" t="str">
            <v>Oklahoma City</v>
          </cell>
          <cell r="F723" t="str">
            <v>73120</v>
          </cell>
          <cell r="G723" t="str">
            <v>Oklahoma</v>
          </cell>
          <cell r="H723" t="str">
            <v>United States of America</v>
          </cell>
          <cell r="I723" t="str">
            <v>USE4</v>
          </cell>
          <cell r="J723">
            <v>462900</v>
          </cell>
          <cell r="K723">
            <v>0</v>
          </cell>
          <cell r="L723">
            <v>925900</v>
          </cell>
          <cell r="M723">
            <v>0</v>
          </cell>
          <cell r="N723">
            <v>1111100</v>
          </cell>
          <cell r="O723">
            <v>2499900</v>
          </cell>
        </row>
        <row r="724">
          <cell r="A724" t="str">
            <v>857</v>
          </cell>
          <cell r="B724" t="str">
            <v>BORAL BRICKS INC</v>
          </cell>
          <cell r="C724" t="str">
            <v>Rock Hill</v>
          </cell>
          <cell r="D724" t="str">
            <v>232 S Cherry Rd</v>
          </cell>
          <cell r="E724" t="str">
            <v>Rock Hill</v>
          </cell>
          <cell r="F724" t="str">
            <v>29730</v>
          </cell>
          <cell r="G724" t="str">
            <v>South Carolina</v>
          </cell>
          <cell r="H724" t="str">
            <v>United States of America</v>
          </cell>
          <cell r="I724" t="str">
            <v>USE4</v>
          </cell>
          <cell r="J724">
            <v>0</v>
          </cell>
          <cell r="K724">
            <v>0</v>
          </cell>
          <cell r="L724">
            <v>185100</v>
          </cell>
          <cell r="M724">
            <v>0</v>
          </cell>
          <cell r="N724">
            <v>0</v>
          </cell>
          <cell r="O724">
            <v>185100</v>
          </cell>
        </row>
        <row r="725">
          <cell r="A725" t="str">
            <v>857</v>
          </cell>
          <cell r="B725" t="str">
            <v>BORAL BRICKS INC</v>
          </cell>
          <cell r="C725" t="str">
            <v>Salisbury Plant - USA</v>
          </cell>
          <cell r="D725" t="str">
            <v>700 S Long Street</v>
          </cell>
          <cell r="E725" t="str">
            <v>East Spencer</v>
          </cell>
          <cell r="F725" t="str">
            <v>28039</v>
          </cell>
          <cell r="G725" t="str">
            <v>North Carolina</v>
          </cell>
          <cell r="H725" t="str">
            <v>United States of America</v>
          </cell>
          <cell r="I725" t="str">
            <v>USE4</v>
          </cell>
          <cell r="J725">
            <v>2777700</v>
          </cell>
          <cell r="K725">
            <v>18518500</v>
          </cell>
          <cell r="L725">
            <v>33333300</v>
          </cell>
          <cell r="M725">
            <v>2037000</v>
          </cell>
          <cell r="N725">
            <v>12962900</v>
          </cell>
          <cell r="O725">
            <v>69629400</v>
          </cell>
        </row>
        <row r="726">
          <cell r="A726" t="str">
            <v>857</v>
          </cell>
          <cell r="B726" t="str">
            <v>BORAL BRICKS INC</v>
          </cell>
          <cell r="C726" t="str">
            <v>Smyrna</v>
          </cell>
          <cell r="D726" t="str">
            <v>5472 Oakdale Rd</v>
          </cell>
          <cell r="E726" t="str">
            <v>Smyrna</v>
          </cell>
          <cell r="F726" t="str">
            <v>30082</v>
          </cell>
          <cell r="G726" t="str">
            <v>Georgia</v>
          </cell>
          <cell r="H726" t="str">
            <v>United States of America</v>
          </cell>
          <cell r="I726" t="str">
            <v>USE4</v>
          </cell>
          <cell r="J726">
            <v>1851800</v>
          </cell>
          <cell r="K726">
            <v>4814800</v>
          </cell>
          <cell r="L726">
            <v>18518500</v>
          </cell>
          <cell r="M726">
            <v>740700</v>
          </cell>
          <cell r="N726">
            <v>14814800</v>
          </cell>
          <cell r="O726">
            <v>40740600</v>
          </cell>
        </row>
        <row r="727">
          <cell r="A727" t="str">
            <v>857</v>
          </cell>
          <cell r="B727" t="str">
            <v>BORAL BRICKS INC</v>
          </cell>
          <cell r="C727" t="str">
            <v>Summerville</v>
          </cell>
          <cell r="D727" t="str">
            <v>Hwy 78 West</v>
          </cell>
          <cell r="E727" t="str">
            <v>Summerville</v>
          </cell>
          <cell r="F727" t="str">
            <v>29484</v>
          </cell>
          <cell r="G727" t="str">
            <v>South Carolina</v>
          </cell>
          <cell r="H727" t="str">
            <v>United States of America</v>
          </cell>
          <cell r="I727" t="str">
            <v>USE4</v>
          </cell>
          <cell r="J727">
            <v>925900</v>
          </cell>
          <cell r="K727">
            <v>111100</v>
          </cell>
          <cell r="L727">
            <v>462900</v>
          </cell>
          <cell r="M727">
            <v>46200</v>
          </cell>
          <cell r="N727">
            <v>2222200</v>
          </cell>
          <cell r="O727">
            <v>3768300</v>
          </cell>
        </row>
        <row r="728">
          <cell r="A728" t="str">
            <v>857</v>
          </cell>
          <cell r="B728" t="str">
            <v>BORAL BRICKS INC</v>
          </cell>
          <cell r="C728" t="str">
            <v>Tulsa</v>
          </cell>
          <cell r="D728" t="str">
            <v>225  N Aspen</v>
          </cell>
          <cell r="E728" t="str">
            <v>Broken Arrow</v>
          </cell>
          <cell r="F728" t="str">
            <v>74012</v>
          </cell>
          <cell r="G728" t="str">
            <v>Oklahoma</v>
          </cell>
          <cell r="H728" t="str">
            <v>United States of America</v>
          </cell>
          <cell r="I728" t="str">
            <v>USE4</v>
          </cell>
          <cell r="J728">
            <v>0</v>
          </cell>
          <cell r="K728">
            <v>0</v>
          </cell>
          <cell r="L728">
            <v>138800</v>
          </cell>
          <cell r="M728">
            <v>0</v>
          </cell>
          <cell r="N728">
            <v>0</v>
          </cell>
          <cell r="O728">
            <v>138800</v>
          </cell>
        </row>
        <row r="729">
          <cell r="A729" t="str">
            <v>857</v>
          </cell>
          <cell r="B729" t="str">
            <v>BORAL BRICKS INC</v>
          </cell>
          <cell r="C729" t="str">
            <v>Tupelo</v>
          </cell>
          <cell r="D729" t="str">
            <v>966 Gliff Gookin Boulevard</v>
          </cell>
          <cell r="E729" t="str">
            <v>Tupelo</v>
          </cell>
          <cell r="F729" t="str">
            <v>38801</v>
          </cell>
          <cell r="G729" t="str">
            <v>Mississippi</v>
          </cell>
          <cell r="H729" t="str">
            <v>United States of America</v>
          </cell>
          <cell r="I729" t="str">
            <v>USE4</v>
          </cell>
          <cell r="J729">
            <v>92500</v>
          </cell>
          <cell r="K729">
            <v>333300</v>
          </cell>
          <cell r="L729">
            <v>74000</v>
          </cell>
          <cell r="M729">
            <v>55500</v>
          </cell>
          <cell r="N729">
            <v>370300</v>
          </cell>
          <cell r="O729">
            <v>925600</v>
          </cell>
        </row>
        <row r="730">
          <cell r="A730" t="str">
            <v>857</v>
          </cell>
          <cell r="B730" t="str">
            <v>BORAL BRICKS INC</v>
          </cell>
          <cell r="C730" t="str">
            <v>Van Wyck</v>
          </cell>
          <cell r="D730" t="str">
            <v>7472 Van Wyck Rd</v>
          </cell>
          <cell r="E730" t="str">
            <v>Van Wyck</v>
          </cell>
          <cell r="F730" t="str">
            <v>29744</v>
          </cell>
          <cell r="G730" t="str">
            <v>South Carolina</v>
          </cell>
          <cell r="H730" t="str">
            <v>United States of America</v>
          </cell>
          <cell r="I730" t="str">
            <v>USE4</v>
          </cell>
          <cell r="J730">
            <v>4629600</v>
          </cell>
          <cell r="K730">
            <v>8888800</v>
          </cell>
          <cell r="L730">
            <v>37037000</v>
          </cell>
          <cell r="M730">
            <v>648100</v>
          </cell>
          <cell r="N730">
            <v>7407400</v>
          </cell>
          <cell r="O730">
            <v>58610900</v>
          </cell>
        </row>
        <row r="731">
          <cell r="A731" t="str">
            <v>999</v>
          </cell>
          <cell r="B731" t="str">
            <v>GYPSUM RESOURCES AUSTRALIA</v>
          </cell>
          <cell r="C731" t="str">
            <v>Penong - Mine Site</v>
          </cell>
          <cell r="D731" t="str">
            <v>Lake McDonnell</v>
          </cell>
          <cell r="E731" t="str">
            <v>Penong</v>
          </cell>
          <cell r="F731" t="str">
            <v>5690</v>
          </cell>
          <cell r="G731" t="str">
            <v>South Australia</v>
          </cell>
          <cell r="H731" t="str">
            <v>Australia</v>
          </cell>
          <cell r="I731" t="str">
            <v>Not Applicable</v>
          </cell>
          <cell r="J731">
            <v>100000</v>
          </cell>
          <cell r="K731">
            <v>500000</v>
          </cell>
          <cell r="L731">
            <v>2000000</v>
          </cell>
          <cell r="M731">
            <v>6000000</v>
          </cell>
          <cell r="N731">
            <v>0</v>
          </cell>
          <cell r="O731">
            <v>8600000</v>
          </cell>
        </row>
        <row r="732">
          <cell r="A732" t="str">
            <v>999</v>
          </cell>
          <cell r="B732" t="str">
            <v>GYPSUM RESOURCES AUSTRALIA</v>
          </cell>
          <cell r="C732" t="str">
            <v>Thevenard - Shipping Port</v>
          </cell>
          <cell r="D732" t="str">
            <v>Innes Avenue</v>
          </cell>
          <cell r="E732" t="str">
            <v>Thevenard</v>
          </cell>
          <cell r="F732" t="str">
            <v>5690</v>
          </cell>
          <cell r="G732" t="str">
            <v>South Australia</v>
          </cell>
          <cell r="H732" t="str">
            <v>Australia</v>
          </cell>
          <cell r="I732" t="str">
            <v>Not Applicable</v>
          </cell>
          <cell r="J732">
            <v>360000</v>
          </cell>
          <cell r="K732">
            <v>0</v>
          </cell>
          <cell r="L732">
            <v>1140000</v>
          </cell>
          <cell r="M732">
            <v>110000</v>
          </cell>
          <cell r="N732">
            <v>0</v>
          </cell>
          <cell r="O732">
            <v>1610000</v>
          </cell>
        </row>
        <row r="733">
          <cell r="A733" t="str">
            <v>860</v>
          </cell>
          <cell r="B733" t="str">
            <v>BORAL MATERIAL TECHNOLOGIES (US)</v>
          </cell>
          <cell r="C733" t="str">
            <v>Belews Creek Plant - BMT</v>
          </cell>
          <cell r="D733" t="str">
            <v>Pine Hall Road</v>
          </cell>
          <cell r="E733" t="str">
            <v>Walnut Cove</v>
          </cell>
          <cell r="F733" t="str">
            <v>27052</v>
          </cell>
          <cell r="G733" t="str">
            <v>North Carolina</v>
          </cell>
          <cell r="H733" t="str">
            <v>United States of America</v>
          </cell>
          <cell r="I733" t="str">
            <v>USE4</v>
          </cell>
          <cell r="J733">
            <v>47685.1852</v>
          </cell>
          <cell r="K733">
            <v>8766444.4443999995</v>
          </cell>
          <cell r="L733">
            <v>3814.8148000000001</v>
          </cell>
          <cell r="M733">
            <v>38148.148099999999</v>
          </cell>
          <cell r="N733">
            <v>11286129.6296</v>
          </cell>
          <cell r="O733">
            <v>20142222.222100001</v>
          </cell>
        </row>
        <row r="734">
          <cell r="A734" t="str">
            <v>860</v>
          </cell>
          <cell r="B734" t="str">
            <v>BORAL MATERIAL TECHNOLOGIES (US)</v>
          </cell>
          <cell r="C734" t="str">
            <v>Marshall Plant</v>
          </cell>
          <cell r="D734" t="str">
            <v>Highway 150</v>
          </cell>
          <cell r="E734" t="str">
            <v>Terrel</v>
          </cell>
          <cell r="F734" t="str">
            <v>28682</v>
          </cell>
          <cell r="G734" t="str">
            <v>North Carolina</v>
          </cell>
          <cell r="H734" t="str">
            <v>United States of America</v>
          </cell>
          <cell r="I734" t="str">
            <v>USE4</v>
          </cell>
          <cell r="J734">
            <v>925925.92590000003</v>
          </cell>
          <cell r="K734">
            <v>2962962.963</v>
          </cell>
          <cell r="L734">
            <v>12222222.222200001</v>
          </cell>
          <cell r="M734">
            <v>92592.592600000004</v>
          </cell>
          <cell r="N734">
            <v>3703703.7037</v>
          </cell>
          <cell r="O734">
            <v>19907407.407400001</v>
          </cell>
        </row>
        <row r="735">
          <cell r="A735" t="str">
            <v>860</v>
          </cell>
          <cell r="B735" t="str">
            <v>BORAL MATERIAL TECHNOLOGIES (US)</v>
          </cell>
          <cell r="C735" t="str">
            <v>Bowen Plant</v>
          </cell>
          <cell r="D735" t="str">
            <v>317 Covered Bridge Road</v>
          </cell>
          <cell r="E735" t="str">
            <v>Stilesboro</v>
          </cell>
          <cell r="F735" t="str">
            <v>30120</v>
          </cell>
          <cell r="G735" t="str">
            <v>Georgia</v>
          </cell>
          <cell r="H735" t="str">
            <v>United States of America</v>
          </cell>
          <cell r="I735" t="str">
            <v>USE4</v>
          </cell>
          <cell r="J735">
            <v>0</v>
          </cell>
          <cell r="K735">
            <v>3920097.6</v>
          </cell>
          <cell r="L735">
            <v>27253.8</v>
          </cell>
          <cell r="M735">
            <v>79536.600000000006</v>
          </cell>
          <cell r="N735">
            <v>5184333.3333000001</v>
          </cell>
          <cell r="O735">
            <v>9211221.3333000001</v>
          </cell>
        </row>
        <row r="736">
          <cell r="A736" t="str">
            <v>860</v>
          </cell>
          <cell r="B736" t="str">
            <v>BORAL MATERIAL TECHNOLOGIES (US)</v>
          </cell>
          <cell r="C736" t="str">
            <v>Deely Plant</v>
          </cell>
          <cell r="D736" t="str">
            <v>9599 Garner Road</v>
          </cell>
          <cell r="E736" t="str">
            <v>San Antonio</v>
          </cell>
          <cell r="F736" t="str">
            <v>78220</v>
          </cell>
          <cell r="G736" t="str">
            <v>Texas</v>
          </cell>
          <cell r="H736" t="str">
            <v>United States of America</v>
          </cell>
          <cell r="I736" t="str">
            <v>USE4</v>
          </cell>
          <cell r="J736">
            <v>0</v>
          </cell>
          <cell r="K736">
            <v>590684.4</v>
          </cell>
          <cell r="L736">
            <v>194670</v>
          </cell>
          <cell r="M736">
            <v>36153</v>
          </cell>
          <cell r="N736">
            <v>7265314.8147999998</v>
          </cell>
          <cell r="O736">
            <v>8086822.2148000002</v>
          </cell>
        </row>
        <row r="737">
          <cell r="A737" t="str">
            <v>860</v>
          </cell>
          <cell r="B737" t="str">
            <v>BORAL MATERIAL TECHNOLOGIES (US)</v>
          </cell>
          <cell r="C737" t="str">
            <v>Crystal River Plant</v>
          </cell>
          <cell r="D737" t="str">
            <v>4310 N. Suncoast Blvd.</v>
          </cell>
          <cell r="E737" t="str">
            <v>Crystal River</v>
          </cell>
          <cell r="F737" t="str">
            <v>34428</v>
          </cell>
          <cell r="G737" t="str">
            <v>Florida</v>
          </cell>
          <cell r="H737" t="str">
            <v>United States of America</v>
          </cell>
          <cell r="I737" t="str">
            <v>USE4</v>
          </cell>
          <cell r="J737">
            <v>0</v>
          </cell>
          <cell r="K737">
            <v>636292.80000000005</v>
          </cell>
          <cell r="L737">
            <v>56732.4</v>
          </cell>
          <cell r="M737">
            <v>13905</v>
          </cell>
          <cell r="N737">
            <v>5180518.5185000002</v>
          </cell>
          <cell r="O737">
            <v>5887448.7185000004</v>
          </cell>
        </row>
        <row r="738">
          <cell r="A738" t="str">
            <v>860</v>
          </cell>
          <cell r="B738" t="str">
            <v>BORAL MATERIAL TECHNOLOGIES (US)</v>
          </cell>
          <cell r="C738" t="str">
            <v>Mohave Plant</v>
          </cell>
          <cell r="D738" t="str">
            <v>2700 Edison Way</v>
          </cell>
          <cell r="E738" t="str">
            <v>Laughlin</v>
          </cell>
          <cell r="F738" t="str">
            <v>89029</v>
          </cell>
          <cell r="G738" t="str">
            <v>Nevada</v>
          </cell>
          <cell r="H738" t="str">
            <v>United States of America</v>
          </cell>
          <cell r="I738" t="str">
            <v>USE4</v>
          </cell>
          <cell r="J738">
            <v>0</v>
          </cell>
          <cell r="K738">
            <v>1112.4000000000001</v>
          </cell>
          <cell r="L738">
            <v>1835460</v>
          </cell>
          <cell r="M738">
            <v>0</v>
          </cell>
          <cell r="N738">
            <v>3814814.8147999998</v>
          </cell>
          <cell r="O738">
            <v>5651387.2148000002</v>
          </cell>
        </row>
        <row r="739">
          <cell r="A739" t="str">
            <v>860</v>
          </cell>
          <cell r="B739" t="str">
            <v>BORAL MATERIAL TECHNOLOGIES (US)</v>
          </cell>
          <cell r="C739" t="str">
            <v>Braunig Lake Admixture Plant</v>
          </cell>
          <cell r="D739" t="str">
            <v>14910 Streich Road</v>
          </cell>
          <cell r="E739" t="str">
            <v>Elmendorf</v>
          </cell>
          <cell r="F739" t="str">
            <v>78112</v>
          </cell>
          <cell r="G739" t="str">
            <v>Texas</v>
          </cell>
          <cell r="H739" t="str">
            <v>United States of America</v>
          </cell>
          <cell r="I739" t="str">
            <v>USE4</v>
          </cell>
          <cell r="J739">
            <v>789666.66669999994</v>
          </cell>
          <cell r="K739">
            <v>2353740.7407</v>
          </cell>
          <cell r="L739">
            <v>61037.036999999997</v>
          </cell>
          <cell r="M739">
            <v>19074.074100000002</v>
          </cell>
          <cell r="N739">
            <v>2170629.6296000001</v>
          </cell>
          <cell r="O739">
            <v>5394148.1480999999</v>
          </cell>
        </row>
        <row r="740">
          <cell r="A740">
            <v>853</v>
          </cell>
          <cell r="B740" t="str">
            <v>UNITED STATES TILE CO</v>
          </cell>
          <cell r="C740" t="str">
            <v>U S Tile Company (Under. Const)</v>
          </cell>
          <cell r="D740" t="str">
            <v>1000 King Station Road</v>
          </cell>
          <cell r="E740" t="str">
            <v>Ione</v>
          </cell>
          <cell r="F740">
            <v>95640</v>
          </cell>
          <cell r="G740" t="str">
            <v>California</v>
          </cell>
          <cell r="H740" t="str">
            <v>United States of America</v>
          </cell>
          <cell r="I740" t="str">
            <v>E</v>
          </cell>
          <cell r="J740">
            <v>3000000</v>
          </cell>
          <cell r="K740">
            <v>12000000</v>
          </cell>
          <cell r="L740">
            <v>0</v>
          </cell>
          <cell r="M740">
            <v>150000</v>
          </cell>
          <cell r="N740">
            <v>0</v>
          </cell>
          <cell r="O740">
            <v>15150000</v>
          </cell>
        </row>
        <row r="741">
          <cell r="A741" t="str">
            <v>860</v>
          </cell>
          <cell r="B741" t="str">
            <v>BORAL MATERIAL TECHNOLOGIES (US)</v>
          </cell>
          <cell r="C741" t="str">
            <v>Fontana Terminal</v>
          </cell>
          <cell r="D741" t="str">
            <v>10411 Live Oak</v>
          </cell>
          <cell r="E741" t="str">
            <v>Fontana</v>
          </cell>
          <cell r="F741" t="str">
            <v>92335</v>
          </cell>
          <cell r="G741" t="str">
            <v>California</v>
          </cell>
          <cell r="H741" t="str">
            <v>United States of America</v>
          </cell>
          <cell r="I741" t="str">
            <v>E</v>
          </cell>
          <cell r="J741">
            <v>50000</v>
          </cell>
          <cell r="K741">
            <v>2700000</v>
          </cell>
          <cell r="L741">
            <v>300000</v>
          </cell>
          <cell r="M741">
            <v>0</v>
          </cell>
          <cell r="O741">
            <v>4050000</v>
          </cell>
        </row>
        <row r="742">
          <cell r="A742" t="str">
            <v>860</v>
          </cell>
          <cell r="B742" t="str">
            <v>BORAL MATERIAL TECHNOLOGIES (US)</v>
          </cell>
          <cell r="C742" t="str">
            <v>Sandow Plant</v>
          </cell>
          <cell r="D742" t="str">
            <v>FM Road 2116</v>
          </cell>
          <cell r="E742" t="str">
            <v>Rockdale</v>
          </cell>
          <cell r="F742" t="str">
            <v>76567</v>
          </cell>
          <cell r="G742" t="str">
            <v>Texas</v>
          </cell>
          <cell r="H742" t="str">
            <v>United States of America</v>
          </cell>
          <cell r="I742" t="str">
            <v>USE4</v>
          </cell>
          <cell r="J742">
            <v>0</v>
          </cell>
          <cell r="K742">
            <v>645748.19999999995</v>
          </cell>
          <cell r="L742">
            <v>90104.4</v>
          </cell>
          <cell r="M742">
            <v>612376.19999999995</v>
          </cell>
          <cell r="N742">
            <v>3482925.9259000001</v>
          </cell>
          <cell r="O742">
            <v>4831154.7259</v>
          </cell>
        </row>
        <row r="743">
          <cell r="A743" t="str">
            <v>860</v>
          </cell>
          <cell r="B743" t="str">
            <v>BORAL MATERIAL TECHNOLOGIES (US)</v>
          </cell>
          <cell r="C743" t="str">
            <v>Denver Terminal</v>
          </cell>
          <cell r="D743" t="str">
            <v>9000 E. 90th Street</v>
          </cell>
          <cell r="E743" t="str">
            <v>Henderson</v>
          </cell>
          <cell r="F743" t="str">
            <v>80640</v>
          </cell>
          <cell r="G743" t="str">
            <v>Colorado</v>
          </cell>
          <cell r="H743" t="str">
            <v>United States of America</v>
          </cell>
          <cell r="I743" t="str">
            <v>USE4</v>
          </cell>
          <cell r="J743">
            <v>114444.44439999999</v>
          </cell>
          <cell r="K743">
            <v>43870.3704</v>
          </cell>
          <cell r="L743">
            <v>2765740.7407</v>
          </cell>
          <cell r="M743">
            <v>0</v>
          </cell>
          <cell r="N743">
            <v>953703.70369999995</v>
          </cell>
          <cell r="O743">
            <v>3877759.2592000002</v>
          </cell>
        </row>
        <row r="744">
          <cell r="A744" t="str">
            <v>860</v>
          </cell>
          <cell r="B744" t="str">
            <v>BORAL MATERIAL TECHNOLOGIES (US)</v>
          </cell>
          <cell r="C744" t="str">
            <v>Apache Plant - BMT</v>
          </cell>
          <cell r="D744" t="str">
            <v>SR191</v>
          </cell>
          <cell r="E744" t="str">
            <v>Cochise</v>
          </cell>
          <cell r="F744" t="str">
            <v>85606</v>
          </cell>
          <cell r="G744" t="str">
            <v>Arizona</v>
          </cell>
          <cell r="H744" t="str">
            <v>United States of America</v>
          </cell>
          <cell r="I744" t="str">
            <v>USE4</v>
          </cell>
          <cell r="J744">
            <v>0</v>
          </cell>
          <cell r="K744">
            <v>0</v>
          </cell>
          <cell r="L744">
            <v>1799863.2</v>
          </cell>
          <cell r="M744">
            <v>0</v>
          </cell>
          <cell r="N744">
            <v>1907407.4073999999</v>
          </cell>
          <cell r="O744">
            <v>3707270.6074000001</v>
          </cell>
        </row>
        <row r="745">
          <cell r="A745" t="str">
            <v>860</v>
          </cell>
          <cell r="B745" t="str">
            <v>BORAL MATERIAL TECHNOLOGIES (US)</v>
          </cell>
          <cell r="C745" t="str">
            <v>AC Admixture Plant - BMT</v>
          </cell>
          <cell r="D745" t="str">
            <v>914  West Johnson Street</v>
          </cell>
          <cell r="E745" t="str">
            <v>Monroe</v>
          </cell>
          <cell r="F745" t="str">
            <v>28110</v>
          </cell>
          <cell r="G745" t="str">
            <v>North Carolina</v>
          </cell>
          <cell r="H745" t="str">
            <v>United States of America</v>
          </cell>
          <cell r="I745" t="str">
            <v>USE4</v>
          </cell>
          <cell r="J745">
            <v>335703.70370000001</v>
          </cell>
          <cell r="K745">
            <v>1070055.5556000001</v>
          </cell>
          <cell r="L745">
            <v>43870.3704</v>
          </cell>
          <cell r="M745">
            <v>34333.333299999998</v>
          </cell>
          <cell r="N745">
            <v>1804407.4073999999</v>
          </cell>
          <cell r="O745">
            <v>3288370.3703999999</v>
          </cell>
        </row>
        <row r="746">
          <cell r="A746" t="str">
            <v>860</v>
          </cell>
          <cell r="B746" t="str">
            <v>BORAL MATERIAL TECHNOLOGIES (US)</v>
          </cell>
          <cell r="C746" t="str">
            <v>Fayette Plant</v>
          </cell>
          <cell r="D746" t="str">
            <v>East Of Lagrange On Highway 71</v>
          </cell>
          <cell r="E746" t="str">
            <v>Lagrange</v>
          </cell>
          <cell r="F746" t="str">
            <v>78945</v>
          </cell>
          <cell r="G746" t="str">
            <v>Texas</v>
          </cell>
          <cell r="H746" t="str">
            <v>United States of America</v>
          </cell>
          <cell r="I746" t="str">
            <v>USE4</v>
          </cell>
          <cell r="J746">
            <v>0</v>
          </cell>
          <cell r="K746">
            <v>229154.4</v>
          </cell>
          <cell r="L746">
            <v>12792.6</v>
          </cell>
          <cell r="M746">
            <v>222480</v>
          </cell>
          <cell r="N746">
            <v>2271722.2222000002</v>
          </cell>
          <cell r="O746">
            <v>2736149.2222000002</v>
          </cell>
        </row>
        <row r="747">
          <cell r="A747" t="str">
            <v>860</v>
          </cell>
          <cell r="B747" t="str">
            <v>BORAL MATERIAL TECHNOLOGIES (US)</v>
          </cell>
          <cell r="C747" t="str">
            <v>SE Admixture Plant</v>
          </cell>
          <cell r="D747" t="str">
            <v>227 Pearl Street</v>
          </cell>
          <cell r="E747" t="str">
            <v>Auburndale</v>
          </cell>
          <cell r="F747" t="str">
            <v>33823</v>
          </cell>
          <cell r="G747" t="str">
            <v>Florida</v>
          </cell>
          <cell r="H747" t="str">
            <v>United States of America</v>
          </cell>
          <cell r="I747" t="str">
            <v>USE4</v>
          </cell>
          <cell r="J747">
            <v>442518.51850000001</v>
          </cell>
          <cell r="K747">
            <v>570314.81480000005</v>
          </cell>
          <cell r="L747">
            <v>141148.14809999999</v>
          </cell>
          <cell r="M747">
            <v>0</v>
          </cell>
          <cell r="N747">
            <v>1226462.963</v>
          </cell>
          <cell r="O747">
            <v>2380444.4443999999</v>
          </cell>
        </row>
        <row r="748">
          <cell r="A748" t="str">
            <v>860</v>
          </cell>
          <cell r="B748" t="str">
            <v>BORAL MATERIAL TECHNOLOGIES (US)</v>
          </cell>
          <cell r="C748" t="str">
            <v>Crist Plant</v>
          </cell>
          <cell r="D748" t="str">
            <v>11951 Pate Street</v>
          </cell>
          <cell r="E748" t="str">
            <v>Pensacola</v>
          </cell>
          <cell r="F748" t="str">
            <v>32514</v>
          </cell>
          <cell r="G748" t="str">
            <v>Florida</v>
          </cell>
          <cell r="H748" t="str">
            <v>United States of America</v>
          </cell>
          <cell r="I748" t="str">
            <v>USE4</v>
          </cell>
          <cell r="J748">
            <v>28611.111099999998</v>
          </cell>
          <cell r="K748">
            <v>131611.11110000001</v>
          </cell>
          <cell r="L748">
            <v>5722.2222000000002</v>
          </cell>
          <cell r="M748">
            <v>137333.3333</v>
          </cell>
          <cell r="N748">
            <v>1451537.037</v>
          </cell>
          <cell r="O748">
            <v>1754814.8147</v>
          </cell>
        </row>
        <row r="749">
          <cell r="A749" t="str">
            <v>860</v>
          </cell>
          <cell r="B749" t="str">
            <v>BORAL MATERIAL TECHNOLOGIES (US)</v>
          </cell>
          <cell r="C749" t="str">
            <v>Yates Plant</v>
          </cell>
          <cell r="D749" t="str">
            <v>661 Syer Road</v>
          </cell>
          <cell r="E749" t="str">
            <v>Newman</v>
          </cell>
          <cell r="F749" t="str">
            <v>30264</v>
          </cell>
          <cell r="G749" t="str">
            <v>Georgia</v>
          </cell>
          <cell r="H749" t="str">
            <v>United States of America</v>
          </cell>
          <cell r="I749" t="str">
            <v>USE4</v>
          </cell>
          <cell r="J749">
            <v>0</v>
          </cell>
          <cell r="K749">
            <v>642411</v>
          </cell>
          <cell r="L749">
            <v>109015.2</v>
          </cell>
          <cell r="M749">
            <v>199119.6</v>
          </cell>
          <cell r="N749">
            <v>169759.25930000001</v>
          </cell>
          <cell r="O749">
            <v>1120305.0593000001</v>
          </cell>
        </row>
        <row r="750">
          <cell r="A750" t="str">
            <v>860</v>
          </cell>
          <cell r="B750" t="str">
            <v>BORAL MATERIAL TECHNOLOGIES (US)</v>
          </cell>
          <cell r="C750" t="str">
            <v>Big Brown Plant - BMT</v>
          </cell>
          <cell r="D750" t="str">
            <v>9 Miles Ne Of Fairfield  off Fm 2570</v>
          </cell>
          <cell r="E750" t="str">
            <v>Fairfield</v>
          </cell>
          <cell r="F750" t="str">
            <v>75840</v>
          </cell>
          <cell r="G750" t="str">
            <v>Texas</v>
          </cell>
          <cell r="H750" t="str">
            <v>United States of America</v>
          </cell>
          <cell r="I750" t="str">
            <v>USE4</v>
          </cell>
          <cell r="J750">
            <v>0</v>
          </cell>
          <cell r="K750">
            <v>0</v>
          </cell>
          <cell r="L750">
            <v>0</v>
          </cell>
          <cell r="M750">
            <v>417706.2</v>
          </cell>
          <cell r="N750">
            <v>461592.59259999997</v>
          </cell>
          <cell r="O750">
            <v>879298.79260000004</v>
          </cell>
        </row>
        <row r="751">
          <cell r="A751" t="str">
            <v>860</v>
          </cell>
          <cell r="B751" t="str">
            <v>BORAL MATERIAL TECHNOLOGIES (US)</v>
          </cell>
          <cell r="C751" t="str">
            <v>Oklaunion Plant</v>
          </cell>
          <cell r="D751" t="str">
            <v>12567 Fm 3430</v>
          </cell>
          <cell r="E751" t="str">
            <v>Oklaunion</v>
          </cell>
          <cell r="F751" t="str">
            <v>76373</v>
          </cell>
          <cell r="G751" t="str">
            <v>Texas</v>
          </cell>
          <cell r="H751" t="str">
            <v>United States of America</v>
          </cell>
          <cell r="I751" t="str">
            <v>USE4</v>
          </cell>
          <cell r="J751">
            <v>0</v>
          </cell>
          <cell r="K751">
            <v>0</v>
          </cell>
          <cell r="L751">
            <v>122364</v>
          </cell>
          <cell r="M751">
            <v>7786.8</v>
          </cell>
          <cell r="N751">
            <v>654240.74069999997</v>
          </cell>
          <cell r="O751">
            <v>784391.54070000001</v>
          </cell>
        </row>
        <row r="752">
          <cell r="A752" t="str">
            <v>860</v>
          </cell>
          <cell r="B752" t="str">
            <v>BORAL MATERIAL TECHNOLOGIES (US)</v>
          </cell>
          <cell r="C752" t="str">
            <v>Western Admixture Plant</v>
          </cell>
          <cell r="D752" t="str">
            <v>1385 West Battaglia</v>
          </cell>
          <cell r="E752" t="str">
            <v>Eloy</v>
          </cell>
          <cell r="F752" t="str">
            <v>85231</v>
          </cell>
          <cell r="G752" t="str">
            <v>Arizona</v>
          </cell>
          <cell r="H752" t="str">
            <v>United States of America</v>
          </cell>
          <cell r="I752" t="str">
            <v>USE4</v>
          </cell>
          <cell r="J752">
            <v>0</v>
          </cell>
          <cell r="K752">
            <v>278100</v>
          </cell>
          <cell r="L752">
            <v>0</v>
          </cell>
          <cell r="M752">
            <v>0</v>
          </cell>
          <cell r="N752">
            <v>481481.48149999999</v>
          </cell>
          <cell r="O752">
            <v>759581.48149999999</v>
          </cell>
        </row>
        <row r="753">
          <cell r="A753" t="str">
            <v>860</v>
          </cell>
          <cell r="B753" t="str">
            <v>BORAL MATERIAL TECHNOLOGIES (US)</v>
          </cell>
          <cell r="C753" t="str">
            <v>Branch Plant</v>
          </cell>
          <cell r="D753" t="str">
            <v>100-b Milledgeville Road</v>
          </cell>
          <cell r="E753" t="str">
            <v>Milledgeville</v>
          </cell>
          <cell r="F753" t="str">
            <v>31061</v>
          </cell>
          <cell r="G753" t="str">
            <v>Georgia</v>
          </cell>
          <cell r="H753" t="str">
            <v>United States of America</v>
          </cell>
          <cell r="I753" t="str">
            <v>USE4</v>
          </cell>
          <cell r="J753">
            <v>0</v>
          </cell>
          <cell r="K753">
            <v>384334.2</v>
          </cell>
          <cell r="L753">
            <v>0</v>
          </cell>
          <cell r="M753">
            <v>41715</v>
          </cell>
          <cell r="N753">
            <v>247962.96299999999</v>
          </cell>
          <cell r="O753">
            <v>674012.16299999994</v>
          </cell>
        </row>
        <row r="754">
          <cell r="A754" t="str">
            <v>860</v>
          </cell>
          <cell r="B754" t="str">
            <v>BORAL MATERIAL TECHNOLOGIES (US)</v>
          </cell>
          <cell r="C754" t="str">
            <v>McDonough Plant</v>
          </cell>
          <cell r="D754" t="str">
            <v>5551-B South Cobb Drive</v>
          </cell>
          <cell r="E754" t="str">
            <v>Smyrna</v>
          </cell>
          <cell r="F754" t="str">
            <v>30080</v>
          </cell>
          <cell r="G754" t="str">
            <v>Georgia</v>
          </cell>
          <cell r="H754" t="str">
            <v>United States of America</v>
          </cell>
          <cell r="I754" t="str">
            <v>USE4</v>
          </cell>
          <cell r="J754">
            <v>0</v>
          </cell>
          <cell r="K754">
            <v>552862.80000000005</v>
          </cell>
          <cell r="L754">
            <v>81205.2</v>
          </cell>
          <cell r="M754">
            <v>25029</v>
          </cell>
          <cell r="N754">
            <v>0</v>
          </cell>
          <cell r="O754">
            <v>659097</v>
          </cell>
        </row>
        <row r="755">
          <cell r="A755" t="str">
            <v>860</v>
          </cell>
          <cell r="B755" t="str">
            <v>BORAL MATERIAL TECHNOLOGIES (US)</v>
          </cell>
          <cell r="C755" t="str">
            <v>Snowflake Plant</v>
          </cell>
          <cell r="D755" t="str">
            <v>Stone Container Paper Mill</v>
          </cell>
          <cell r="E755" t="str">
            <v>Snowflake</v>
          </cell>
          <cell r="F755" t="str">
            <v>85937</v>
          </cell>
          <cell r="G755" t="str">
            <v>Arizona</v>
          </cell>
          <cell r="H755" t="str">
            <v>United States of America</v>
          </cell>
          <cell r="I755" t="str">
            <v>USE4</v>
          </cell>
          <cell r="J755">
            <v>0</v>
          </cell>
          <cell r="K755">
            <v>0</v>
          </cell>
          <cell r="L755">
            <v>556200</v>
          </cell>
          <cell r="M755">
            <v>0</v>
          </cell>
          <cell r="N755">
            <v>95370.3704</v>
          </cell>
          <cell r="O755">
            <v>651570.37040000001</v>
          </cell>
        </row>
        <row r="756">
          <cell r="A756" t="str">
            <v>860</v>
          </cell>
          <cell r="B756" t="str">
            <v>BORAL MATERIAL TECHNOLOGIES (US)</v>
          </cell>
          <cell r="C756" t="str">
            <v>Purvis Plant</v>
          </cell>
          <cell r="D756" t="str">
            <v>Okhola Road</v>
          </cell>
          <cell r="E756" t="str">
            <v>Hattiesburg</v>
          </cell>
          <cell r="F756" t="str">
            <v>39402</v>
          </cell>
          <cell r="G756" t="str">
            <v>Mississippi</v>
          </cell>
          <cell r="H756" t="str">
            <v>United States of America</v>
          </cell>
          <cell r="I756" t="str">
            <v>USE4</v>
          </cell>
          <cell r="J756">
            <v>30518.518499999998</v>
          </cell>
          <cell r="K756">
            <v>381481.48149999999</v>
          </cell>
          <cell r="L756">
            <v>11444.4444</v>
          </cell>
          <cell r="M756">
            <v>0</v>
          </cell>
          <cell r="N756">
            <v>215537.03700000001</v>
          </cell>
          <cell r="O756">
            <v>638981.48140000005</v>
          </cell>
        </row>
        <row r="757">
          <cell r="A757" t="str">
            <v>860</v>
          </cell>
          <cell r="B757" t="str">
            <v>BORAL MATERIAL TECHNOLOGIES (US)</v>
          </cell>
          <cell r="C757" t="str">
            <v>Navajo Plant</v>
          </cell>
          <cell r="D757" t="str">
            <v>Highway 98</v>
          </cell>
          <cell r="E757" t="str">
            <v>Page</v>
          </cell>
          <cell r="F757" t="str">
            <v>86040</v>
          </cell>
          <cell r="G757" t="str">
            <v>Arizona</v>
          </cell>
          <cell r="H757" t="str">
            <v>United States of America</v>
          </cell>
          <cell r="I757" t="str">
            <v>USE4</v>
          </cell>
          <cell r="J757">
            <v>0</v>
          </cell>
          <cell r="K757">
            <v>0</v>
          </cell>
          <cell r="L757">
            <v>152955</v>
          </cell>
          <cell r="M757">
            <v>0</v>
          </cell>
          <cell r="N757">
            <v>481481.48149999999</v>
          </cell>
          <cell r="O757">
            <v>634436.48149999999</v>
          </cell>
        </row>
        <row r="758">
          <cell r="A758" t="str">
            <v>860</v>
          </cell>
          <cell r="B758" t="str">
            <v>BORAL MATERIAL TECHNOLOGIES (US)</v>
          </cell>
          <cell r="C758" t="str">
            <v>Leroy Plant</v>
          </cell>
          <cell r="D758" t="str">
            <v>Carson Road</v>
          </cell>
          <cell r="E758" t="str">
            <v>Leroy</v>
          </cell>
          <cell r="F758" t="str">
            <v>36548</v>
          </cell>
          <cell r="G758" t="str">
            <v>Alabama</v>
          </cell>
          <cell r="H758" t="str">
            <v>United States of America</v>
          </cell>
          <cell r="I758" t="str">
            <v>USE4</v>
          </cell>
          <cell r="J758">
            <v>0</v>
          </cell>
          <cell r="K758">
            <v>0</v>
          </cell>
          <cell r="L758">
            <v>3337.2</v>
          </cell>
          <cell r="M758">
            <v>0</v>
          </cell>
          <cell r="N758">
            <v>566500</v>
          </cell>
          <cell r="O758">
            <v>569837.19999999995</v>
          </cell>
        </row>
        <row r="759">
          <cell r="A759" t="str">
            <v>860</v>
          </cell>
          <cell r="B759" t="str">
            <v>BORAL MATERIAL TECHNOLOGIES (US)</v>
          </cell>
          <cell r="C759" t="str">
            <v>Morgantown Plant</v>
          </cell>
          <cell r="D759" t="str">
            <v>12620 Crane Highway</v>
          </cell>
          <cell r="E759" t="str">
            <v>Newburg</v>
          </cell>
          <cell r="F759" t="str">
            <v>20664</v>
          </cell>
          <cell r="G759" t="str">
            <v>Maryland</v>
          </cell>
          <cell r="H759" t="str">
            <v>United States of America</v>
          </cell>
          <cell r="I759" t="str">
            <v>USE4</v>
          </cell>
          <cell r="J759">
            <v>0</v>
          </cell>
          <cell r="K759">
            <v>0</v>
          </cell>
          <cell r="L759">
            <v>0</v>
          </cell>
          <cell r="M759">
            <v>0</v>
          </cell>
          <cell r="N759">
            <v>535981.48149999999</v>
          </cell>
          <cell r="O759">
            <v>535981.48149999999</v>
          </cell>
        </row>
        <row r="760">
          <cell r="A760" t="str">
            <v>860</v>
          </cell>
          <cell r="B760" t="str">
            <v>BORAL MATERIAL TECHNOLOGIES (US)</v>
          </cell>
          <cell r="C760" t="str">
            <v>Coleto Creek Plant</v>
          </cell>
          <cell r="D760" t="str">
            <v>Fm Road 2987</v>
          </cell>
          <cell r="E760" t="str">
            <v>Fannin</v>
          </cell>
          <cell r="F760" t="str">
            <v>77960</v>
          </cell>
          <cell r="G760" t="str">
            <v>Texas</v>
          </cell>
          <cell r="H760" t="str">
            <v>United States of America</v>
          </cell>
          <cell r="I760" t="str">
            <v>USE4</v>
          </cell>
          <cell r="J760">
            <v>0</v>
          </cell>
          <cell r="K760">
            <v>487231.2</v>
          </cell>
          <cell r="L760">
            <v>12236.4</v>
          </cell>
          <cell r="M760">
            <v>0</v>
          </cell>
          <cell r="N760">
            <v>0</v>
          </cell>
          <cell r="O760">
            <v>499467.6</v>
          </cell>
        </row>
        <row r="761">
          <cell r="A761" t="str">
            <v>860</v>
          </cell>
          <cell r="B761" t="str">
            <v>BORAL MATERIAL TECHNOLOGIES (US)</v>
          </cell>
          <cell r="C761" t="str">
            <v>Monticello Plant</v>
          </cell>
          <cell r="D761" t="str">
            <v>9 Miles South Of Fm 127</v>
          </cell>
          <cell r="E761" t="str">
            <v>Mt. Pleasant</v>
          </cell>
          <cell r="F761" t="str">
            <v>75455</v>
          </cell>
          <cell r="G761" t="str">
            <v>Texas</v>
          </cell>
          <cell r="H761" t="str">
            <v>United States of America</v>
          </cell>
          <cell r="I761" t="str">
            <v>USE4</v>
          </cell>
          <cell r="J761">
            <v>0</v>
          </cell>
          <cell r="K761">
            <v>0</v>
          </cell>
          <cell r="L761">
            <v>0</v>
          </cell>
          <cell r="M761">
            <v>493349.4</v>
          </cell>
          <cell r="N761">
            <v>0</v>
          </cell>
          <cell r="O761">
            <v>493349.4</v>
          </cell>
        </row>
        <row r="762">
          <cell r="A762" t="str">
            <v>860</v>
          </cell>
          <cell r="B762" t="str">
            <v>BORAL MATERIAL TECHNOLOGIES (US)</v>
          </cell>
          <cell r="C762" t="str">
            <v>Denton Terminal</v>
          </cell>
          <cell r="D762" t="str">
            <v>518  E. Sycamore</v>
          </cell>
          <cell r="E762" t="str">
            <v>Denton</v>
          </cell>
          <cell r="F762" t="str">
            <v>76201</v>
          </cell>
          <cell r="G762" t="str">
            <v>Texas</v>
          </cell>
          <cell r="H762" t="str">
            <v>United States of America</v>
          </cell>
          <cell r="I762" t="str">
            <v>USE4</v>
          </cell>
          <cell r="J762">
            <v>0</v>
          </cell>
          <cell r="K762">
            <v>235828.8</v>
          </cell>
          <cell r="L762">
            <v>0</v>
          </cell>
          <cell r="M762">
            <v>0</v>
          </cell>
          <cell r="N762">
            <v>194555.55559999999</v>
          </cell>
          <cell r="O762">
            <v>430384.35560000001</v>
          </cell>
        </row>
        <row r="763">
          <cell r="A763" t="str">
            <v>860</v>
          </cell>
          <cell r="B763" t="str">
            <v>BORAL MATERIAL TECHNOLOGIES (US)</v>
          </cell>
          <cell r="C763" t="str">
            <v>Clarkdale Terminal</v>
          </cell>
          <cell r="E763" t="str">
            <v>Clarkdale</v>
          </cell>
          <cell r="F763" t="str">
            <v>86324</v>
          </cell>
          <cell r="G763" t="str">
            <v>Arizona</v>
          </cell>
          <cell r="H763" t="str">
            <v>United States of America</v>
          </cell>
          <cell r="I763" t="str">
            <v>USE4</v>
          </cell>
          <cell r="J763">
            <v>1907.4074000000001</v>
          </cell>
          <cell r="K763">
            <v>0</v>
          </cell>
          <cell r="L763">
            <v>419629.62959999999</v>
          </cell>
          <cell r="M763">
            <v>0</v>
          </cell>
          <cell r="N763">
            <v>0</v>
          </cell>
          <cell r="O763">
            <v>421537.03700000001</v>
          </cell>
        </row>
        <row r="764">
          <cell r="A764" t="str">
            <v>860</v>
          </cell>
          <cell r="B764" t="str">
            <v>BORAL MATERIAL TECHNOLOGIES (US)</v>
          </cell>
          <cell r="C764" t="str">
            <v>Corporate Office - USA</v>
          </cell>
          <cell r="D764" t="str">
            <v>45  N.E. Loop 410</v>
          </cell>
          <cell r="E764" t="str">
            <v>San Antonio</v>
          </cell>
          <cell r="F764" t="str">
            <v>78216</v>
          </cell>
          <cell r="G764" t="str">
            <v>Texas</v>
          </cell>
          <cell r="H764" t="str">
            <v>United States of America</v>
          </cell>
          <cell r="I764" t="str">
            <v>USE4</v>
          </cell>
          <cell r="J764">
            <v>0</v>
          </cell>
          <cell r="K764">
            <v>0</v>
          </cell>
          <cell r="L764">
            <v>336501</v>
          </cell>
          <cell r="M764">
            <v>0</v>
          </cell>
          <cell r="N764">
            <v>0</v>
          </cell>
          <cell r="O764">
            <v>336501</v>
          </cell>
        </row>
        <row r="765">
          <cell r="A765" t="str">
            <v>860</v>
          </cell>
          <cell r="B765" t="str">
            <v>BORAL MATERIAL TECHNOLOGIES (US)</v>
          </cell>
          <cell r="C765" t="str">
            <v>American Fork Terminal - BMT Inc</v>
          </cell>
          <cell r="D765" t="str">
            <v>95 North 200 East</v>
          </cell>
          <cell r="E765" t="str">
            <v>American Fork</v>
          </cell>
          <cell r="F765" t="str">
            <v>84003</v>
          </cell>
          <cell r="G765" t="str">
            <v>Utah</v>
          </cell>
          <cell r="H765" t="str">
            <v>United States of America</v>
          </cell>
          <cell r="I765" t="str">
            <v>USE4</v>
          </cell>
          <cell r="J765">
            <v>36240.740700000002</v>
          </cell>
          <cell r="K765">
            <v>0</v>
          </cell>
          <cell r="L765">
            <v>209814.81479999999</v>
          </cell>
          <cell r="M765">
            <v>0</v>
          </cell>
          <cell r="N765">
            <v>0</v>
          </cell>
          <cell r="O765">
            <v>246055.55549999999</v>
          </cell>
        </row>
        <row r="766">
          <cell r="A766" t="str">
            <v>860</v>
          </cell>
          <cell r="B766" t="str">
            <v>BORAL MATERIAL TECHNOLOGIES (US)</v>
          </cell>
          <cell r="C766" t="str">
            <v>SE Terminal</v>
          </cell>
          <cell r="D766" t="str">
            <v>5800 SW 177 Avenue</v>
          </cell>
          <cell r="E766" t="str">
            <v>Miami</v>
          </cell>
          <cell r="F766" t="str">
            <v>33296</v>
          </cell>
          <cell r="G766" t="str">
            <v>Florida</v>
          </cell>
          <cell r="H766" t="str">
            <v>United States of America</v>
          </cell>
          <cell r="I766" t="str">
            <v>USE4</v>
          </cell>
          <cell r="J766">
            <v>0</v>
          </cell>
          <cell r="K766">
            <v>0</v>
          </cell>
          <cell r="L766">
            <v>0</v>
          </cell>
          <cell r="M766">
            <v>0</v>
          </cell>
          <cell r="N766">
            <v>240333.3333</v>
          </cell>
          <cell r="O766">
            <v>240333.3333</v>
          </cell>
        </row>
        <row r="767">
          <cell r="A767" t="str">
            <v>860</v>
          </cell>
          <cell r="B767" t="str">
            <v>BORAL MATERIAL TECHNOLOGIES (US)</v>
          </cell>
          <cell r="C767" t="str">
            <v>Northeastern Plant</v>
          </cell>
          <cell r="D767" t="str">
            <v>Highway 169 &amp; 88</v>
          </cell>
          <cell r="E767" t="str">
            <v>Oologah</v>
          </cell>
          <cell r="F767" t="str">
            <v>74053</v>
          </cell>
          <cell r="G767" t="str">
            <v>Oklahoma</v>
          </cell>
          <cell r="H767" t="str">
            <v>United States of America</v>
          </cell>
          <cell r="I767" t="str">
            <v>USE4</v>
          </cell>
          <cell r="J767">
            <v>0</v>
          </cell>
          <cell r="K767">
            <v>139050</v>
          </cell>
          <cell r="L767">
            <v>0</v>
          </cell>
          <cell r="M767">
            <v>83430</v>
          </cell>
          <cell r="N767">
            <v>0</v>
          </cell>
          <cell r="O767">
            <v>222480</v>
          </cell>
        </row>
        <row r="768">
          <cell r="A768" t="str">
            <v>860</v>
          </cell>
          <cell r="B768" t="str">
            <v>BORAL MATERIAL TECHNOLOGIES (US)</v>
          </cell>
          <cell r="C768" t="str">
            <v>Boardman Plant - BMT</v>
          </cell>
          <cell r="D768" t="str">
            <v>Tower Road</v>
          </cell>
          <cell r="E768" t="str">
            <v>Boardman</v>
          </cell>
          <cell r="F768" t="str">
            <v>97818</v>
          </cell>
          <cell r="G768" t="str">
            <v>Oregon</v>
          </cell>
          <cell r="H768" t="str">
            <v>United States of America</v>
          </cell>
          <cell r="I768" t="str">
            <v>USE4</v>
          </cell>
          <cell r="J768">
            <v>0</v>
          </cell>
          <cell r="K768">
            <v>0</v>
          </cell>
          <cell r="L768">
            <v>214137</v>
          </cell>
          <cell r="M768">
            <v>0</v>
          </cell>
          <cell r="N768">
            <v>0</v>
          </cell>
          <cell r="O768">
            <v>214137</v>
          </cell>
        </row>
        <row r="769">
          <cell r="A769" t="str">
            <v>860</v>
          </cell>
          <cell r="B769" t="str">
            <v>BORAL MATERIAL TECHNOLOGIES (US)</v>
          </cell>
          <cell r="C769" t="str">
            <v>Auburndale Terminal</v>
          </cell>
          <cell r="D769" t="str">
            <v>227 Pearl Street</v>
          </cell>
          <cell r="E769" t="str">
            <v>Auburndale</v>
          </cell>
          <cell r="F769" t="str">
            <v>33823</v>
          </cell>
          <cell r="G769" t="str">
            <v>Florida</v>
          </cell>
          <cell r="H769" t="str">
            <v>United States of America</v>
          </cell>
          <cell r="I769" t="str">
            <v>USE4</v>
          </cell>
          <cell r="J769">
            <v>0</v>
          </cell>
          <cell r="K769">
            <v>201344.4</v>
          </cell>
          <cell r="L769">
            <v>0</v>
          </cell>
          <cell r="M769">
            <v>0</v>
          </cell>
          <cell r="N769">
            <v>0</v>
          </cell>
          <cell r="O769">
            <v>201344.4</v>
          </cell>
        </row>
        <row r="770">
          <cell r="A770" t="str">
            <v>860</v>
          </cell>
          <cell r="B770" t="str">
            <v>BORAL MATERIAL TECHNOLOGIES (US)</v>
          </cell>
          <cell r="C770" t="str">
            <v>Arizona Office</v>
          </cell>
          <cell r="D770" t="str">
            <v>Suite 234, 7500  North Dreamy Draw</v>
          </cell>
          <cell r="E770" t="str">
            <v>Phoenix</v>
          </cell>
          <cell r="F770" t="str">
            <v>85020</v>
          </cell>
          <cell r="G770" t="str">
            <v>Arizona</v>
          </cell>
          <cell r="H770" t="str">
            <v>United States of America</v>
          </cell>
          <cell r="I770" t="str">
            <v>USE4</v>
          </cell>
          <cell r="J770">
            <v>0</v>
          </cell>
          <cell r="K770">
            <v>33372</v>
          </cell>
          <cell r="L770">
            <v>139050</v>
          </cell>
          <cell r="M770">
            <v>0</v>
          </cell>
          <cell r="N770">
            <v>0</v>
          </cell>
          <cell r="O770">
            <v>172422</v>
          </cell>
        </row>
        <row r="771">
          <cell r="A771" t="str">
            <v>860</v>
          </cell>
        </row>
        <row r="772">
          <cell r="A772" t="str">
            <v>860</v>
          </cell>
          <cell r="B772" t="str">
            <v>BORAL MATERIAL TECHNOLOGIES (US)</v>
          </cell>
          <cell r="C772" t="str">
            <v>Valmy Plant</v>
          </cell>
          <cell r="D772" t="str">
            <v>I-80 Stonehouse Exit</v>
          </cell>
          <cell r="E772" t="str">
            <v>Valmy</v>
          </cell>
          <cell r="F772" t="str">
            <v>89445</v>
          </cell>
          <cell r="G772" t="str">
            <v>Nevada</v>
          </cell>
          <cell r="H772" t="str">
            <v>United States of America</v>
          </cell>
          <cell r="I772" t="str">
            <v>USE4</v>
          </cell>
          <cell r="J772">
            <v>0</v>
          </cell>
          <cell r="K772">
            <v>0</v>
          </cell>
          <cell r="L772">
            <v>97891.199999999997</v>
          </cell>
          <cell r="M772">
            <v>0</v>
          </cell>
          <cell r="N772">
            <v>0</v>
          </cell>
          <cell r="O772">
            <v>97891.199999999997</v>
          </cell>
        </row>
        <row r="773">
          <cell r="A773" t="str">
            <v>860</v>
          </cell>
          <cell r="B773" t="str">
            <v>BORAL MATERIAL TECHNOLOGIES (US)</v>
          </cell>
          <cell r="C773" t="str">
            <v>Southern Dispenser Shop Warehouse</v>
          </cell>
          <cell r="D773" t="str">
            <v>41 River Court</v>
          </cell>
          <cell r="E773" t="str">
            <v>Cartersville</v>
          </cell>
          <cell r="F773" t="str">
            <v>30120</v>
          </cell>
          <cell r="G773" t="str">
            <v>Georgia</v>
          </cell>
          <cell r="H773" t="str">
            <v>United States of America</v>
          </cell>
          <cell r="I773" t="str">
            <v>USE4</v>
          </cell>
          <cell r="J773">
            <v>95370.3704</v>
          </cell>
          <cell r="K773">
            <v>0</v>
          </cell>
          <cell r="L773">
            <v>0</v>
          </cell>
          <cell r="M773">
            <v>0</v>
          </cell>
          <cell r="N773">
            <v>0</v>
          </cell>
          <cell r="O773">
            <v>95370.3704</v>
          </cell>
        </row>
        <row r="774">
          <cell r="A774" t="str">
            <v>860</v>
          </cell>
          <cell r="B774" t="str">
            <v>BORAL MATERIAL TECHNOLOGIES (US)</v>
          </cell>
          <cell r="C774" t="str">
            <v>Maryland Terminal</v>
          </cell>
          <cell r="D774" t="str">
            <v>8110 Brookbridge Road</v>
          </cell>
          <cell r="E774" t="str">
            <v>Laurel</v>
          </cell>
          <cell r="F774" t="str">
            <v>20707</v>
          </cell>
          <cell r="G774" t="str">
            <v>Maryland</v>
          </cell>
          <cell r="H774" t="str">
            <v>United States of America</v>
          </cell>
          <cell r="I774" t="str">
            <v>USE4</v>
          </cell>
          <cell r="J774">
            <v>0</v>
          </cell>
          <cell r="K774">
            <v>21691.8</v>
          </cell>
          <cell r="L774">
            <v>0</v>
          </cell>
          <cell r="M774">
            <v>0</v>
          </cell>
          <cell r="N774">
            <v>59129.6296</v>
          </cell>
          <cell r="O774">
            <v>80821.429600000003</v>
          </cell>
        </row>
        <row r="775">
          <cell r="A775" t="str">
            <v>860</v>
          </cell>
          <cell r="B775" t="str">
            <v>BORAL MATERIAL TECHNOLOGIES (US)</v>
          </cell>
          <cell r="C775" t="str">
            <v>El Paso Warehouse</v>
          </cell>
          <cell r="D775" t="str">
            <v>10817 Notus Lane  Suite E</v>
          </cell>
          <cell r="E775" t="str">
            <v>El Paso</v>
          </cell>
          <cell r="G775" t="str">
            <v>Texas</v>
          </cell>
          <cell r="H775" t="str">
            <v>United States of America</v>
          </cell>
          <cell r="I775" t="str">
            <v>USE4</v>
          </cell>
          <cell r="J775">
            <v>74388.888900000005</v>
          </cell>
          <cell r="K775">
            <v>5722.2222000000002</v>
          </cell>
          <cell r="L775">
            <v>0</v>
          </cell>
          <cell r="M775">
            <v>0</v>
          </cell>
          <cell r="N775">
            <v>0</v>
          </cell>
          <cell r="O775">
            <v>80111.111099999995</v>
          </cell>
        </row>
        <row r="776">
          <cell r="A776" t="str">
            <v>860</v>
          </cell>
          <cell r="B776" t="str">
            <v>BORAL MATERIAL TECHNOLOGIES (US)</v>
          </cell>
          <cell r="C776" t="str">
            <v>San Antonio Terminal</v>
          </cell>
          <cell r="D776" t="str">
            <v>6055 W. Green Mountain</v>
          </cell>
          <cell r="E776" t="str">
            <v>San Antonio</v>
          </cell>
          <cell r="F776" t="str">
            <v>78266</v>
          </cell>
          <cell r="G776" t="str">
            <v>Texas</v>
          </cell>
          <cell r="H776" t="str">
            <v>United States of America</v>
          </cell>
          <cell r="I776" t="str">
            <v>USE4</v>
          </cell>
          <cell r="J776">
            <v>0</v>
          </cell>
          <cell r="K776">
            <v>34484.400000000001</v>
          </cell>
          <cell r="L776">
            <v>0</v>
          </cell>
          <cell r="M776">
            <v>0</v>
          </cell>
          <cell r="N776">
            <v>38148.148099999999</v>
          </cell>
          <cell r="O776">
            <v>72632.5481</v>
          </cell>
        </row>
        <row r="777">
          <cell r="A777" t="str">
            <v>860</v>
          </cell>
          <cell r="B777" t="str">
            <v>BORAL MATERIAL TECHNOLOGIES (US)</v>
          </cell>
          <cell r="C777" t="str">
            <v>Lehigh Terminal</v>
          </cell>
          <cell r="D777" t="str">
            <v>4020 Pendola Point Road</v>
          </cell>
          <cell r="E777" t="str">
            <v>Tampa</v>
          </cell>
          <cell r="F777" t="str">
            <v>33619</v>
          </cell>
          <cell r="G777" t="str">
            <v>Florida</v>
          </cell>
          <cell r="H777" t="str">
            <v>United States of America</v>
          </cell>
          <cell r="I777" t="str">
            <v>USE4</v>
          </cell>
          <cell r="J777">
            <v>0</v>
          </cell>
          <cell r="K777">
            <v>3337.2</v>
          </cell>
          <cell r="L777">
            <v>0</v>
          </cell>
          <cell r="M777">
            <v>0</v>
          </cell>
          <cell r="N777">
            <v>59129.6296</v>
          </cell>
          <cell r="O777">
            <v>62466.829599999997</v>
          </cell>
        </row>
        <row r="778">
          <cell r="A778" t="str">
            <v>860</v>
          </cell>
          <cell r="B778" t="str">
            <v>BORAL MATERIAL TECHNOLOGIES (US)</v>
          </cell>
          <cell r="C778" t="str">
            <v>SE Region Office</v>
          </cell>
          <cell r="D778" t="str">
            <v>227 Pearl Street</v>
          </cell>
          <cell r="E778" t="str">
            <v>Auburndale</v>
          </cell>
          <cell r="F778" t="str">
            <v>33823</v>
          </cell>
          <cell r="G778" t="str">
            <v>Florida</v>
          </cell>
          <cell r="H778" t="str">
            <v>United States of America</v>
          </cell>
          <cell r="I778" t="str">
            <v>USE4</v>
          </cell>
          <cell r="J778">
            <v>0</v>
          </cell>
          <cell r="K778">
            <v>48389.4</v>
          </cell>
          <cell r="L778">
            <v>9455.4</v>
          </cell>
          <cell r="M778">
            <v>0</v>
          </cell>
          <cell r="N778">
            <v>0</v>
          </cell>
          <cell r="O778">
            <v>57844.800000000003</v>
          </cell>
        </row>
        <row r="779">
          <cell r="A779" t="str">
            <v>860</v>
          </cell>
          <cell r="B779" t="str">
            <v>BORAL MATERIAL TECHNOLOGIES (US)</v>
          </cell>
          <cell r="C779" t="str">
            <v>Pawnee Plant</v>
          </cell>
          <cell r="D779" t="str">
            <v>14940 County Road 24</v>
          </cell>
          <cell r="E779" t="str">
            <v>Brush</v>
          </cell>
          <cell r="F779" t="str">
            <v>80723</v>
          </cell>
          <cell r="G779" t="str">
            <v>Colorado</v>
          </cell>
          <cell r="H779" t="str">
            <v>United States of America</v>
          </cell>
          <cell r="I779" t="str">
            <v>USE4</v>
          </cell>
          <cell r="J779">
            <v>0</v>
          </cell>
          <cell r="K779">
            <v>0</v>
          </cell>
          <cell r="L779">
            <v>55620</v>
          </cell>
          <cell r="M779">
            <v>0</v>
          </cell>
          <cell r="N779">
            <v>0</v>
          </cell>
          <cell r="O779">
            <v>55620</v>
          </cell>
        </row>
        <row r="780">
          <cell r="A780" t="str">
            <v>860</v>
          </cell>
          <cell r="B780" t="str">
            <v>BORAL MATERIAL TECHNOLOGIES (US)</v>
          </cell>
          <cell r="C780" t="str">
            <v>Gulf Coast Warehouse</v>
          </cell>
          <cell r="D780" t="str">
            <v>424 N. 11th Street</v>
          </cell>
          <cell r="E780" t="str">
            <v>Laporte</v>
          </cell>
          <cell r="F780" t="str">
            <v>77571</v>
          </cell>
          <cell r="G780" t="str">
            <v>Texas</v>
          </cell>
          <cell r="H780" t="str">
            <v>United States of America</v>
          </cell>
          <cell r="I780" t="str">
            <v>USE4</v>
          </cell>
          <cell r="J780">
            <v>55314.8148</v>
          </cell>
          <cell r="K780">
            <v>0</v>
          </cell>
          <cell r="L780">
            <v>0</v>
          </cell>
          <cell r="M780">
            <v>0</v>
          </cell>
          <cell r="N780">
            <v>0</v>
          </cell>
          <cell r="O780">
            <v>55314.8148</v>
          </cell>
        </row>
        <row r="781">
          <cell r="A781" t="str">
            <v>860</v>
          </cell>
          <cell r="B781" t="str">
            <v>BORAL MATERIAL TECHNOLOGIES (US)</v>
          </cell>
          <cell r="C781" t="str">
            <v>SE Florida Warehouse</v>
          </cell>
          <cell r="D781" t="str">
            <v>1001 NE 1st Avenue</v>
          </cell>
          <cell r="E781" t="str">
            <v>Pompano Beach</v>
          </cell>
          <cell r="G781" t="str">
            <v>Florida</v>
          </cell>
          <cell r="H781" t="str">
            <v>United States of America</v>
          </cell>
          <cell r="I781" t="str">
            <v>USE4</v>
          </cell>
          <cell r="J781">
            <v>53407.407399999996</v>
          </cell>
          <cell r="K781">
            <v>0</v>
          </cell>
          <cell r="L781">
            <v>0</v>
          </cell>
          <cell r="M781">
            <v>0</v>
          </cell>
          <cell r="N781">
            <v>0</v>
          </cell>
          <cell r="O781">
            <v>53407.407399999996</v>
          </cell>
        </row>
        <row r="782">
          <cell r="A782" t="str">
            <v>860</v>
          </cell>
          <cell r="B782" t="str">
            <v>BORAL MATERIAL TECHNOLOGIES (US)</v>
          </cell>
          <cell r="C782" t="str">
            <v>Birmingham Terminal - BMT</v>
          </cell>
          <cell r="D782" t="str">
            <v>4700 Shuttlesworth Drive</v>
          </cell>
          <cell r="E782" t="str">
            <v>Birmingham</v>
          </cell>
          <cell r="F782" t="str">
            <v>35207</v>
          </cell>
          <cell r="G782" t="str">
            <v>Alabama</v>
          </cell>
          <cell r="H782" t="str">
            <v>United States of America</v>
          </cell>
          <cell r="I782" t="str">
            <v>USE4</v>
          </cell>
          <cell r="J782">
            <v>0</v>
          </cell>
          <cell r="K782">
            <v>18354.599999999999</v>
          </cell>
          <cell r="L782">
            <v>0</v>
          </cell>
          <cell r="M782">
            <v>0</v>
          </cell>
          <cell r="N782">
            <v>34333.333299999998</v>
          </cell>
          <cell r="O782">
            <v>52687.933299999997</v>
          </cell>
        </row>
        <row r="783">
          <cell r="A783" t="str">
            <v>860</v>
          </cell>
          <cell r="B783" t="str">
            <v>BORAL MATERIAL TECHNOLOGIES (US)</v>
          </cell>
          <cell r="C783" t="str">
            <v>Dallas District Warehouse</v>
          </cell>
          <cell r="D783" t="str">
            <v>3813 Airport Freeway</v>
          </cell>
          <cell r="E783" t="str">
            <v>Bedford</v>
          </cell>
          <cell r="G783" t="str">
            <v>Texas</v>
          </cell>
          <cell r="H783" t="str">
            <v>United States of America</v>
          </cell>
          <cell r="I783" t="str">
            <v>USE4</v>
          </cell>
          <cell r="J783">
            <v>51500</v>
          </cell>
          <cell r="K783">
            <v>0</v>
          </cell>
          <cell r="L783">
            <v>0</v>
          </cell>
          <cell r="M783">
            <v>0</v>
          </cell>
          <cell r="N783">
            <v>0</v>
          </cell>
          <cell r="O783">
            <v>51500</v>
          </cell>
        </row>
        <row r="784">
          <cell r="A784" t="str">
            <v>860</v>
          </cell>
          <cell r="B784" t="str">
            <v>BORAL MATERIAL TECHNOLOGIES (US)</v>
          </cell>
          <cell r="C784" t="str">
            <v>Southern Region Office</v>
          </cell>
          <cell r="D784" t="str">
            <v>1343 Canton Road  Suite C</v>
          </cell>
          <cell r="E784" t="str">
            <v>Marietta</v>
          </cell>
          <cell r="F784" t="str">
            <v>30066</v>
          </cell>
          <cell r="G784" t="str">
            <v>Georgia</v>
          </cell>
          <cell r="H784" t="str">
            <v>United States of America</v>
          </cell>
          <cell r="I784" t="str">
            <v>USE4</v>
          </cell>
          <cell r="J784">
            <v>0</v>
          </cell>
          <cell r="K784">
            <v>0</v>
          </cell>
          <cell r="L784">
            <v>33372</v>
          </cell>
          <cell r="M784">
            <v>0</v>
          </cell>
          <cell r="N784">
            <v>0</v>
          </cell>
          <cell r="O784">
            <v>33372</v>
          </cell>
        </row>
        <row r="785">
          <cell r="A785" t="str">
            <v>860</v>
          </cell>
          <cell r="B785" t="str">
            <v>BORAL MATERIAL TECHNOLOGIES (US)</v>
          </cell>
          <cell r="C785" t="str">
            <v>Central Texas Warehouse</v>
          </cell>
          <cell r="D785" t="str">
            <v>3203 Centralia Cove</v>
          </cell>
          <cell r="E785" t="str">
            <v>Austin</v>
          </cell>
          <cell r="G785" t="str">
            <v>Texas</v>
          </cell>
          <cell r="H785" t="str">
            <v>United States of America</v>
          </cell>
          <cell r="I785" t="str">
            <v>USE4</v>
          </cell>
          <cell r="J785">
            <v>22888.888900000002</v>
          </cell>
          <cell r="K785">
            <v>0</v>
          </cell>
          <cell r="L785">
            <v>7629.6296000000002</v>
          </cell>
          <cell r="M785">
            <v>0</v>
          </cell>
          <cell r="N785">
            <v>0</v>
          </cell>
          <cell r="O785">
            <v>30518.518499999998</v>
          </cell>
        </row>
        <row r="786">
          <cell r="A786" t="str">
            <v>860</v>
          </cell>
          <cell r="B786" t="str">
            <v>BORAL MATERIAL TECHNOLOGIES (US)</v>
          </cell>
          <cell r="C786" t="str">
            <v>Corpus Christi Terminal</v>
          </cell>
          <cell r="D786" t="str">
            <v>1800 Navigation Blvd.</v>
          </cell>
          <cell r="E786" t="str">
            <v>Corpus Christi</v>
          </cell>
          <cell r="F786" t="str">
            <v>78402</v>
          </cell>
          <cell r="G786" t="str">
            <v>Texas</v>
          </cell>
          <cell r="H786" t="str">
            <v>United States of America</v>
          </cell>
          <cell r="I786" t="str">
            <v>USE4</v>
          </cell>
          <cell r="J786">
            <v>0</v>
          </cell>
          <cell r="K786">
            <v>28366.2</v>
          </cell>
          <cell r="L786">
            <v>0</v>
          </cell>
          <cell r="M786">
            <v>0</v>
          </cell>
          <cell r="N786">
            <v>0</v>
          </cell>
          <cell r="O786">
            <v>28366.2</v>
          </cell>
        </row>
        <row r="787">
          <cell r="A787" t="str">
            <v>860</v>
          </cell>
          <cell r="B787" t="str">
            <v>BORAL MATERIAL TECHNOLOGIES (US)</v>
          </cell>
          <cell r="C787" t="str">
            <v>SE Transport</v>
          </cell>
          <cell r="D787" t="str">
            <v>227 Pearl Street</v>
          </cell>
          <cell r="E787" t="str">
            <v>Aurburndale</v>
          </cell>
          <cell r="F787" t="str">
            <v>33823</v>
          </cell>
          <cell r="G787" t="str">
            <v>Florida</v>
          </cell>
          <cell r="H787" t="str">
            <v>United States of America</v>
          </cell>
          <cell r="I787" t="str">
            <v>USE4</v>
          </cell>
          <cell r="J787">
            <v>0</v>
          </cell>
          <cell r="K787">
            <v>0</v>
          </cell>
          <cell r="L787">
            <v>25029</v>
          </cell>
          <cell r="M787">
            <v>0</v>
          </cell>
          <cell r="N787">
            <v>0</v>
          </cell>
          <cell r="O787">
            <v>25029</v>
          </cell>
        </row>
        <row r="788">
          <cell r="A788" t="str">
            <v>860</v>
          </cell>
          <cell r="B788" t="str">
            <v>BORAL MATERIAL TECHNOLOGIES (US)</v>
          </cell>
          <cell r="C788" t="str">
            <v>SW Transport</v>
          </cell>
          <cell r="D788" t="str">
            <v>14910 Streich Road</v>
          </cell>
          <cell r="E788" t="str">
            <v>Elmendorf</v>
          </cell>
          <cell r="F788" t="str">
            <v>78112</v>
          </cell>
          <cell r="G788" t="str">
            <v>Texas</v>
          </cell>
          <cell r="H788" t="str">
            <v>United States of America</v>
          </cell>
          <cell r="I788" t="str">
            <v>USE4</v>
          </cell>
          <cell r="J788">
            <v>0</v>
          </cell>
          <cell r="K788">
            <v>6674.4</v>
          </cell>
          <cell r="L788">
            <v>16686</v>
          </cell>
          <cell r="M788">
            <v>0</v>
          </cell>
          <cell r="N788">
            <v>0</v>
          </cell>
          <cell r="O788">
            <v>23360.400000000001</v>
          </cell>
        </row>
        <row r="789">
          <cell r="A789" t="str">
            <v>860</v>
          </cell>
          <cell r="B789" t="str">
            <v>BORAL MATERIAL TECHNOLOGIES (US)</v>
          </cell>
          <cell r="C789" t="str">
            <v>AC Transport - BMT</v>
          </cell>
          <cell r="D789" t="str">
            <v>914  West Johnson Street</v>
          </cell>
          <cell r="E789" t="str">
            <v>Monroe</v>
          </cell>
          <cell r="F789" t="str">
            <v>28110</v>
          </cell>
          <cell r="G789" t="str">
            <v>North Carolina</v>
          </cell>
          <cell r="H789" t="str">
            <v>United States of America</v>
          </cell>
          <cell r="I789" t="str">
            <v>USE4</v>
          </cell>
          <cell r="J789">
            <v>0</v>
          </cell>
          <cell r="K789">
            <v>0</v>
          </cell>
          <cell r="L789">
            <v>19467</v>
          </cell>
          <cell r="M789">
            <v>0</v>
          </cell>
          <cell r="N789">
            <v>0</v>
          </cell>
          <cell r="O789">
            <v>19467</v>
          </cell>
        </row>
        <row r="790">
          <cell r="A790" t="str">
            <v>860</v>
          </cell>
          <cell r="B790" t="str">
            <v>BORAL MATERIAL TECHNOLOGIES (US)</v>
          </cell>
          <cell r="C790" t="str">
            <v>Denver Office</v>
          </cell>
          <cell r="D790" t="str">
            <v>4380 S Syracuse Street Ste 305</v>
          </cell>
          <cell r="E790" t="str">
            <v>Denver</v>
          </cell>
          <cell r="F790" t="str">
            <v>80237</v>
          </cell>
          <cell r="G790" t="str">
            <v>Colorado</v>
          </cell>
          <cell r="H790" t="str">
            <v>United States of America</v>
          </cell>
          <cell r="I790" t="str">
            <v>USE4</v>
          </cell>
          <cell r="J790">
            <v>0</v>
          </cell>
          <cell r="K790">
            <v>0</v>
          </cell>
          <cell r="L790">
            <v>18910.8</v>
          </cell>
          <cell r="M790">
            <v>0</v>
          </cell>
          <cell r="N790">
            <v>0</v>
          </cell>
          <cell r="O790">
            <v>18910.8</v>
          </cell>
        </row>
        <row r="791">
          <cell r="A791" t="str">
            <v>860</v>
          </cell>
          <cell r="B791" t="str">
            <v>BORAL MATERIAL TECHNOLOGIES (US)</v>
          </cell>
          <cell r="C791" t="str">
            <v>AC Office - BMT</v>
          </cell>
          <cell r="D791" t="str">
            <v>Suite 100, 1515  West Cornwallis</v>
          </cell>
          <cell r="E791" t="str">
            <v>Greensboro</v>
          </cell>
          <cell r="F791" t="str">
            <v>27408</v>
          </cell>
          <cell r="G791" t="str">
            <v>North Carolina</v>
          </cell>
          <cell r="H791" t="str">
            <v>United States of America</v>
          </cell>
          <cell r="I791" t="str">
            <v>USE4</v>
          </cell>
          <cell r="J791">
            <v>0</v>
          </cell>
          <cell r="K791">
            <v>0</v>
          </cell>
          <cell r="L791">
            <v>16129.8</v>
          </cell>
          <cell r="M791">
            <v>0</v>
          </cell>
          <cell r="N791">
            <v>0</v>
          </cell>
          <cell r="O791">
            <v>16129.8</v>
          </cell>
        </row>
        <row r="792">
          <cell r="A792" t="str">
            <v>860</v>
          </cell>
          <cell r="B792" t="str">
            <v>BORAL MATERIAL TECHNOLOGIES (US)</v>
          </cell>
          <cell r="C792" t="str">
            <v>Comanche Plant</v>
          </cell>
          <cell r="D792" t="str">
            <v>2005 Lime Road</v>
          </cell>
          <cell r="E792" t="str">
            <v>Pueblo</v>
          </cell>
          <cell r="F792" t="str">
            <v>81006</v>
          </cell>
          <cell r="G792" t="str">
            <v>Colorado</v>
          </cell>
          <cell r="H792" t="str">
            <v>United States of America</v>
          </cell>
          <cell r="I792" t="str">
            <v>USE4</v>
          </cell>
          <cell r="J792">
            <v>0</v>
          </cell>
          <cell r="K792">
            <v>0</v>
          </cell>
          <cell r="L792">
            <v>13905</v>
          </cell>
          <cell r="M792">
            <v>0</v>
          </cell>
          <cell r="N792">
            <v>0</v>
          </cell>
          <cell r="O792">
            <v>13905</v>
          </cell>
        </row>
        <row r="793">
          <cell r="A793">
            <v>51</v>
          </cell>
          <cell r="B793" t="str">
            <v>Allen Taylor Timber Hardware</v>
          </cell>
          <cell r="C793" t="str">
            <v xml:space="preserve">Panelpina Warehouse     </v>
          </cell>
          <cell r="D793" t="str">
            <v>Shaw Road</v>
          </cell>
          <cell r="E793" t="str">
            <v>San francisco</v>
          </cell>
          <cell r="F793">
            <v>94080</v>
          </cell>
          <cell r="G793" t="str">
            <v>California</v>
          </cell>
          <cell r="H793" t="str">
            <v>United States of America</v>
          </cell>
          <cell r="I793" t="str">
            <v>A-1</v>
          </cell>
          <cell r="J793">
            <v>0</v>
          </cell>
          <cell r="K793">
            <v>0</v>
          </cell>
          <cell r="L793">
            <v>2593000</v>
          </cell>
          <cell r="M793">
            <v>0</v>
          </cell>
          <cell r="N793">
            <v>0</v>
          </cell>
          <cell r="O793">
            <v>2593000</v>
          </cell>
        </row>
        <row r="794">
          <cell r="A794" t="str">
            <v>860</v>
          </cell>
          <cell r="B794" t="str">
            <v>BORAL MATERIAL TECHNOLOGIES (US)</v>
          </cell>
          <cell r="C794" t="str">
            <v>SW Region Office</v>
          </cell>
          <cell r="D794" t="str">
            <v>45  N.E. Loop 410</v>
          </cell>
          <cell r="E794" t="str">
            <v>San Antonio</v>
          </cell>
          <cell r="F794" t="str">
            <v>78216</v>
          </cell>
          <cell r="G794" t="str">
            <v>Texas</v>
          </cell>
          <cell r="H794" t="str">
            <v>United States of America</v>
          </cell>
          <cell r="I794" t="str">
            <v>USE4</v>
          </cell>
          <cell r="J794">
            <v>0</v>
          </cell>
          <cell r="K794">
            <v>0</v>
          </cell>
          <cell r="L794">
            <v>10567.8</v>
          </cell>
          <cell r="M794">
            <v>0</v>
          </cell>
          <cell r="N794">
            <v>0</v>
          </cell>
          <cell r="O794">
            <v>10567.8</v>
          </cell>
        </row>
        <row r="795">
          <cell r="A795" t="str">
            <v>860</v>
          </cell>
          <cell r="B795" t="str">
            <v>BORAL MATERIAL TECHNOLOGIES (US)</v>
          </cell>
          <cell r="C795" t="str">
            <v>Wansley Plant</v>
          </cell>
          <cell r="D795" t="str">
            <v>William Brothers Fly Ash Liberty Church Road</v>
          </cell>
          <cell r="E795" t="str">
            <v>Roopville</v>
          </cell>
          <cell r="F795" t="str">
            <v>30170</v>
          </cell>
          <cell r="G795" t="str">
            <v>Georgia</v>
          </cell>
          <cell r="H795" t="str">
            <v>United States of America</v>
          </cell>
          <cell r="I795" t="str">
            <v>USE4</v>
          </cell>
          <cell r="J795">
            <v>0</v>
          </cell>
          <cell r="K795">
            <v>0</v>
          </cell>
          <cell r="L795">
            <v>0</v>
          </cell>
          <cell r="M795">
            <v>0</v>
          </cell>
          <cell r="N795">
            <v>7629.6296000000002</v>
          </cell>
          <cell r="O795">
            <v>7629.6296000000002</v>
          </cell>
        </row>
        <row r="797">
          <cell r="A797" t="str">
            <v>860</v>
          </cell>
          <cell r="B797" t="str">
            <v>BORAL MATERIAL TECHNOLOGIES (US)</v>
          </cell>
          <cell r="C797" t="str">
            <v>Utah Sales Office</v>
          </cell>
          <cell r="D797" t="str">
            <v>8160 S. Highland Drive Ste 204</v>
          </cell>
          <cell r="E797" t="str">
            <v>Sandy</v>
          </cell>
          <cell r="F797" t="str">
            <v>84093</v>
          </cell>
          <cell r="G797" t="str">
            <v>Utah</v>
          </cell>
          <cell r="H797" t="str">
            <v>United States of America</v>
          </cell>
          <cell r="I797" t="str">
            <v>USE4</v>
          </cell>
          <cell r="J797">
            <v>0</v>
          </cell>
          <cell r="K797">
            <v>0</v>
          </cell>
          <cell r="L797">
            <v>5562</v>
          </cell>
          <cell r="M797">
            <v>0</v>
          </cell>
          <cell r="N797">
            <v>0</v>
          </cell>
          <cell r="O797">
            <v>5562</v>
          </cell>
        </row>
        <row r="798">
          <cell r="A798" t="str">
            <v>860</v>
          </cell>
          <cell r="B798" t="str">
            <v>BORAL MATERIAL TECHNOLOGIES (US)</v>
          </cell>
          <cell r="C798" t="str">
            <v>Washington Sales Office</v>
          </cell>
          <cell r="D798" t="str">
            <v>415 E. Mill Plain Boulevard</v>
          </cell>
          <cell r="E798" t="str">
            <v>Vancouver</v>
          </cell>
          <cell r="F798" t="str">
            <v>98660</v>
          </cell>
          <cell r="G798" t="str">
            <v>Washington</v>
          </cell>
          <cell r="H798" t="str">
            <v>United States of America</v>
          </cell>
          <cell r="I798" t="str">
            <v>USE4</v>
          </cell>
          <cell r="J798">
            <v>0</v>
          </cell>
          <cell r="K798">
            <v>0</v>
          </cell>
          <cell r="L798">
            <v>5562</v>
          </cell>
          <cell r="M798">
            <v>0</v>
          </cell>
          <cell r="N798">
            <v>0</v>
          </cell>
          <cell r="O798">
            <v>5562</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erty Values"/>
      <sheetName val="Boiler &amp; Machinery Objects"/>
      <sheetName val="Construction Types"/>
      <sheetName val="Secondary Wind Characteristics"/>
    </sheetNames>
    <sheetDataSet>
      <sheetData sheetId="0"/>
      <sheetData sheetId="1"/>
      <sheetData sheetId="2"/>
      <sheetData sheetId="3">
        <row r="22">
          <cell r="A22" t="str">
            <v>0: Unknown</v>
          </cell>
        </row>
        <row r="23">
          <cell r="A23" t="str">
            <v>1: Zero to five years</v>
          </cell>
        </row>
        <row r="24">
          <cell r="A24" t="str">
            <v>2: Six to ten years</v>
          </cell>
        </row>
        <row r="25">
          <cell r="A25" t="str">
            <v>3: Eleven years or more</v>
          </cell>
        </row>
        <row r="26">
          <cell r="A26" t="str">
            <v>4: Obvious signs of deterioration or distress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M930"/>
  <sheetViews>
    <sheetView tabSelected="1" workbookViewId="0">
      <pane ySplit="1" topLeftCell="A2" activePane="bottomLeft" state="frozen"/>
      <selection pane="bottomLeft" activeCell="A2" sqref="A2"/>
    </sheetView>
  </sheetViews>
  <sheetFormatPr defaultColWidth="8.85546875" defaultRowHeight="15"/>
  <cols>
    <col min="1" max="1" width="11.85546875" style="83" customWidth="1"/>
    <col min="2" max="2" width="39.140625" style="83" customWidth="1"/>
    <col min="3" max="3" width="15.7109375" style="83" bestFit="1" customWidth="1"/>
    <col min="4" max="4" width="17.140625" style="83" customWidth="1"/>
    <col min="5" max="5" width="39.140625" style="83" customWidth="1"/>
    <col min="6" max="6" width="15.42578125" style="83" customWidth="1"/>
    <col min="7" max="7" width="26.140625" style="83" customWidth="1"/>
    <col min="8" max="8" width="17.140625" style="83" customWidth="1"/>
    <col min="9" max="9" width="14" style="83" customWidth="1"/>
    <col min="10" max="10" width="11.7109375" style="83" customWidth="1"/>
    <col min="11" max="11" width="13.42578125" style="83" customWidth="1"/>
    <col min="12" max="12" width="13" style="83" customWidth="1"/>
    <col min="13" max="13" width="18" style="83" customWidth="1"/>
    <col min="14" max="14" width="15.7109375" style="83" customWidth="1"/>
    <col min="15" max="15" width="16.42578125" style="83" customWidth="1"/>
    <col min="16" max="16" width="11.7109375" style="83" customWidth="1"/>
    <col min="17" max="17" width="13.42578125" style="83" customWidth="1"/>
    <col min="18" max="18" width="11.140625" style="83" customWidth="1"/>
    <col min="19" max="19" width="14.28515625" style="83" customWidth="1"/>
    <col min="20" max="20" width="12.7109375" style="83" customWidth="1"/>
    <col min="21" max="21" width="12.42578125" style="83" customWidth="1"/>
    <col min="22" max="23" width="12.28515625" style="97" hidden="1" customWidth="1"/>
    <col min="24" max="25" width="12.140625" style="97" hidden="1" customWidth="1"/>
    <col min="26" max="26" width="10.7109375" style="97" hidden="1" customWidth="1"/>
    <col min="27" max="27" width="14.28515625" style="97" hidden="1" customWidth="1"/>
    <col min="28" max="28" width="13.85546875" style="97" hidden="1" customWidth="1"/>
    <col min="29" max="29" width="12.42578125" style="83" customWidth="1"/>
    <col min="30" max="30" width="16.140625" style="83" customWidth="1"/>
    <col min="31" max="31" width="10.140625" style="83" customWidth="1"/>
    <col min="32" max="32" width="16" style="83" customWidth="1"/>
    <col min="33" max="33" width="12.42578125" style="83" hidden="1" customWidth="1"/>
    <col min="34" max="34" width="15.28515625" style="83" hidden="1" customWidth="1"/>
    <col min="35" max="35" width="14.7109375" style="83" hidden="1" customWidth="1"/>
    <col min="36" max="36" width="13.85546875" style="83" customWidth="1"/>
    <col min="37" max="37" width="13.140625" style="83" customWidth="1"/>
    <col min="38" max="38" width="10.85546875" style="83" customWidth="1"/>
    <col min="39" max="39" width="12" style="83" customWidth="1"/>
    <col min="40" max="40" width="16.85546875" style="83" hidden="1" customWidth="1"/>
    <col min="41" max="41" width="12.85546875" style="83" hidden="1" customWidth="1"/>
    <col min="42" max="42" width="12.42578125" style="83" hidden="1" customWidth="1"/>
    <col min="43" max="43" width="14.28515625" style="83" hidden="1" customWidth="1"/>
    <col min="44" max="44" width="18.7109375" style="83" hidden="1" customWidth="1"/>
    <col min="45" max="45" width="15.42578125" style="83" hidden="1" customWidth="1"/>
    <col min="46" max="46" width="20.85546875" style="83" hidden="1" customWidth="1"/>
    <col min="47" max="47" width="15.28515625" style="83" hidden="1" customWidth="1"/>
    <col min="48" max="49" width="12.42578125" style="83" hidden="1" customWidth="1"/>
    <col min="50" max="50" width="13.140625" style="83" hidden="1" customWidth="1"/>
    <col min="51" max="51" width="13" style="83" hidden="1" customWidth="1"/>
    <col min="52" max="52" width="19.7109375" style="83" hidden="1" customWidth="1"/>
    <col min="53" max="53" width="19.140625" style="83" hidden="1" customWidth="1"/>
    <col min="54" max="54" width="15.42578125" style="83" hidden="1" customWidth="1"/>
    <col min="55" max="55" width="15.28515625" style="83" hidden="1" customWidth="1"/>
    <col min="56" max="56" width="15.85546875" style="83" hidden="1" customWidth="1"/>
    <col min="57" max="57" width="15.42578125" style="83" hidden="1" customWidth="1"/>
    <col min="58" max="58" width="13.42578125" style="83" hidden="1" customWidth="1"/>
    <col min="59" max="59" width="18.28515625" style="83" hidden="1" customWidth="1"/>
    <col min="60" max="60" width="17.7109375" style="83" hidden="1" customWidth="1"/>
    <col min="61" max="61" width="13.7109375" style="83" hidden="1" customWidth="1"/>
    <col min="62" max="62" width="11.140625" style="83" hidden="1" customWidth="1"/>
    <col min="63" max="63" width="11.85546875" style="83" customWidth="1"/>
    <col min="64" max="64" width="8.7109375" style="83" customWidth="1"/>
    <col min="65" max="65" width="10.7109375" style="83" customWidth="1"/>
    <col min="66" max="66" width="10.42578125" style="83" customWidth="1"/>
    <col min="67" max="67" width="9.140625" style="83" customWidth="1"/>
    <col min="68" max="68" width="11.42578125" style="83" customWidth="1"/>
    <col min="69" max="69" width="11.140625" style="83" customWidth="1"/>
    <col min="70" max="70" width="12.28515625" style="83" customWidth="1"/>
    <col min="71" max="71" width="10.7109375" style="83" customWidth="1"/>
    <col min="72" max="72" width="10.85546875" style="83" customWidth="1"/>
    <col min="73" max="73" width="9.85546875" style="83" customWidth="1"/>
    <col min="74" max="74" width="7.7109375" style="83" customWidth="1"/>
    <col min="75" max="75" width="8.42578125" style="83" customWidth="1"/>
    <col min="76" max="76" width="9.85546875" style="83" customWidth="1"/>
    <col min="77" max="77" width="9.7109375" style="83" customWidth="1"/>
    <col min="78" max="78" width="10.7109375" style="83" customWidth="1"/>
    <col min="79" max="79" width="18.140625" style="83" customWidth="1"/>
    <col min="80" max="80" width="19" style="83" customWidth="1"/>
    <col min="81" max="81" width="13.7109375" style="83" customWidth="1"/>
    <col min="82" max="82" width="15.7109375" style="83" customWidth="1"/>
    <col min="83" max="83" width="21.28515625" style="83" hidden="1" customWidth="1"/>
    <col min="84" max="84" width="14.7109375" style="83" customWidth="1"/>
    <col min="85" max="85" width="16.42578125" style="83" customWidth="1"/>
    <col min="86" max="86" width="9.7109375" style="83" customWidth="1"/>
    <col min="87" max="87" width="24.7109375" style="83" customWidth="1"/>
    <col min="88" max="88" width="4" style="83" customWidth="1"/>
    <col min="89" max="89" width="25.7109375" style="144" customWidth="1"/>
    <col min="90" max="90" width="14.7109375" style="83" bestFit="1" customWidth="1"/>
    <col min="91" max="91" width="36.42578125" style="83" customWidth="1"/>
    <col min="92" max="16384" width="8.85546875" style="83"/>
  </cols>
  <sheetData>
    <row r="1" spans="1:91" ht="29.25" customHeight="1">
      <c r="A1" s="95" t="s">
        <v>359</v>
      </c>
      <c r="B1" s="95" t="s">
        <v>360</v>
      </c>
      <c r="C1" s="95" t="s">
        <v>5026</v>
      </c>
      <c r="D1" s="95" t="s">
        <v>1204</v>
      </c>
      <c r="E1" s="95" t="s">
        <v>1205</v>
      </c>
      <c r="F1" s="95" t="s">
        <v>361</v>
      </c>
      <c r="G1" s="95" t="s">
        <v>362</v>
      </c>
      <c r="H1" s="95" t="s">
        <v>363</v>
      </c>
      <c r="I1" s="95" t="s">
        <v>364</v>
      </c>
      <c r="J1" s="95" t="s">
        <v>365</v>
      </c>
      <c r="K1" s="95" t="s">
        <v>366</v>
      </c>
      <c r="L1" s="95" t="s">
        <v>367</v>
      </c>
      <c r="M1" s="95" t="s">
        <v>368</v>
      </c>
      <c r="N1" s="95" t="s">
        <v>369</v>
      </c>
      <c r="O1" s="95" t="s">
        <v>370</v>
      </c>
      <c r="P1" s="95" t="s">
        <v>371</v>
      </c>
      <c r="Q1" s="95" t="s">
        <v>372</v>
      </c>
      <c r="R1" s="95" t="s">
        <v>373</v>
      </c>
      <c r="S1" s="95" t="s">
        <v>374</v>
      </c>
      <c r="T1" s="95" t="s">
        <v>375</v>
      </c>
      <c r="U1" s="95" t="s">
        <v>376</v>
      </c>
      <c r="V1" s="96" t="s">
        <v>377</v>
      </c>
      <c r="W1" s="96" t="s">
        <v>378</v>
      </c>
      <c r="X1" s="96" t="s">
        <v>379</v>
      </c>
      <c r="Y1" s="96" t="s">
        <v>380</v>
      </c>
      <c r="Z1" s="96" t="s">
        <v>381</v>
      </c>
      <c r="AA1" s="96" t="s">
        <v>382</v>
      </c>
      <c r="AB1" s="96" t="s">
        <v>383</v>
      </c>
      <c r="AC1" s="95" t="s">
        <v>383</v>
      </c>
      <c r="AD1" s="95" t="s">
        <v>2687</v>
      </c>
      <c r="AE1" s="95" t="s">
        <v>384</v>
      </c>
      <c r="AF1" s="95" t="s">
        <v>2688</v>
      </c>
      <c r="AG1" s="96" t="s">
        <v>385</v>
      </c>
      <c r="AH1" s="96" t="s">
        <v>386</v>
      </c>
      <c r="AI1" s="96" t="s">
        <v>387</v>
      </c>
      <c r="AJ1" s="95" t="s">
        <v>388</v>
      </c>
      <c r="AK1" s="95" t="s">
        <v>389</v>
      </c>
      <c r="AL1" s="95" t="s">
        <v>390</v>
      </c>
      <c r="AM1" s="95" t="s">
        <v>391</v>
      </c>
      <c r="AN1" s="96" t="s">
        <v>80</v>
      </c>
      <c r="AO1" s="96" t="s">
        <v>81</v>
      </c>
      <c r="AP1" s="96" t="s">
        <v>82</v>
      </c>
      <c r="AQ1" s="96" t="s">
        <v>392</v>
      </c>
      <c r="AR1" s="96" t="s">
        <v>393</v>
      </c>
      <c r="AS1" s="96" t="s">
        <v>83</v>
      </c>
      <c r="AT1" s="96" t="s">
        <v>394</v>
      </c>
      <c r="AU1" s="96" t="s">
        <v>84</v>
      </c>
      <c r="AV1" s="96" t="s">
        <v>85</v>
      </c>
      <c r="AW1" s="96" t="s">
        <v>98</v>
      </c>
      <c r="AX1" s="96" t="s">
        <v>92</v>
      </c>
      <c r="AY1" s="96" t="s">
        <v>93</v>
      </c>
      <c r="AZ1" s="96" t="s">
        <v>94</v>
      </c>
      <c r="BA1" s="96" t="s">
        <v>95</v>
      </c>
      <c r="BB1" s="96" t="s">
        <v>395</v>
      </c>
      <c r="BC1" s="96" t="s">
        <v>91</v>
      </c>
      <c r="BD1" s="96" t="s">
        <v>86</v>
      </c>
      <c r="BE1" s="96" t="s">
        <v>87</v>
      </c>
      <c r="BF1" s="96" t="s">
        <v>88</v>
      </c>
      <c r="BG1" s="96" t="s">
        <v>89</v>
      </c>
      <c r="BH1" s="96" t="s">
        <v>90</v>
      </c>
      <c r="BI1" s="96" t="s">
        <v>96</v>
      </c>
      <c r="BJ1" s="96" t="s">
        <v>396</v>
      </c>
      <c r="BK1" s="95" t="s">
        <v>214</v>
      </c>
      <c r="BL1" s="95" t="s">
        <v>215</v>
      </c>
      <c r="BM1" s="95" t="s">
        <v>216</v>
      </c>
      <c r="BN1" s="95" t="s">
        <v>217</v>
      </c>
      <c r="BO1" s="95" t="s">
        <v>218</v>
      </c>
      <c r="BP1" s="95" t="s">
        <v>219</v>
      </c>
      <c r="BQ1" s="95" t="s">
        <v>220</v>
      </c>
      <c r="BR1" s="95" t="s">
        <v>221</v>
      </c>
      <c r="BS1" s="95" t="s">
        <v>222</v>
      </c>
      <c r="BT1" s="95" t="s">
        <v>397</v>
      </c>
      <c r="BU1" s="95" t="s">
        <v>223</v>
      </c>
      <c r="BV1" s="95" t="s">
        <v>224</v>
      </c>
      <c r="BW1" s="95" t="s">
        <v>225</v>
      </c>
      <c r="BX1" s="95" t="s">
        <v>226</v>
      </c>
      <c r="BY1" s="95" t="s">
        <v>227</v>
      </c>
      <c r="BZ1" s="95" t="s">
        <v>228</v>
      </c>
      <c r="CA1" s="95" t="s">
        <v>229</v>
      </c>
      <c r="CB1" s="95" t="s">
        <v>232</v>
      </c>
      <c r="CC1" s="95" t="s">
        <v>346</v>
      </c>
      <c r="CD1" s="95" t="s">
        <v>345</v>
      </c>
      <c r="CE1" s="96" t="s">
        <v>97</v>
      </c>
      <c r="CF1" s="95" t="s">
        <v>2689</v>
      </c>
      <c r="CG1" s="95" t="s">
        <v>644</v>
      </c>
      <c r="CH1" s="95" t="s">
        <v>645</v>
      </c>
      <c r="CI1" s="95" t="s">
        <v>646</v>
      </c>
      <c r="CJ1" s="95" t="s">
        <v>647</v>
      </c>
      <c r="CK1" s="143" t="s">
        <v>4936</v>
      </c>
      <c r="CL1" s="139" t="s">
        <v>4309</v>
      </c>
      <c r="CM1" s="83" t="s">
        <v>4300</v>
      </c>
    </row>
    <row r="2" spans="1:91">
      <c r="A2" s="83" t="s">
        <v>653</v>
      </c>
      <c r="B2" s="83" t="s">
        <v>2357</v>
      </c>
      <c r="D2" s="83" t="s">
        <v>688</v>
      </c>
      <c r="E2" s="83" t="s">
        <v>3386</v>
      </c>
      <c r="F2" s="83" t="s">
        <v>3387</v>
      </c>
      <c r="G2" s="83" t="s">
        <v>1148</v>
      </c>
      <c r="H2" s="83" t="s">
        <v>566</v>
      </c>
      <c r="I2" s="83" t="s">
        <v>567</v>
      </c>
      <c r="J2" s="83" t="s">
        <v>564</v>
      </c>
      <c r="K2" s="83" t="s">
        <v>565</v>
      </c>
      <c r="L2" s="83" t="s">
        <v>398</v>
      </c>
      <c r="M2" s="83" t="s">
        <v>399</v>
      </c>
      <c r="N2" s="83" t="s">
        <v>2792</v>
      </c>
      <c r="O2" s="83" t="s">
        <v>106</v>
      </c>
      <c r="P2" s="83">
        <v>9</v>
      </c>
      <c r="Q2" s="83" t="s">
        <v>106</v>
      </c>
      <c r="R2" s="83" t="s">
        <v>2799</v>
      </c>
      <c r="S2" s="83" t="s">
        <v>2714</v>
      </c>
      <c r="T2" s="83" t="s">
        <v>2703</v>
      </c>
      <c r="U2" s="83" t="s">
        <v>401</v>
      </c>
      <c r="AC2" s="83" t="s">
        <v>401</v>
      </c>
      <c r="AD2" s="83">
        <v>549000</v>
      </c>
      <c r="AF2" s="83">
        <v>216000</v>
      </c>
      <c r="AJ2" s="83">
        <v>1</v>
      </c>
      <c r="AK2" s="83">
        <v>1</v>
      </c>
      <c r="AL2" s="83">
        <v>9150</v>
      </c>
      <c r="AM2" s="83" t="s">
        <v>2693</v>
      </c>
      <c r="BK2" s="83" t="s">
        <v>2694</v>
      </c>
      <c r="BL2" s="83" t="s">
        <v>2693</v>
      </c>
      <c r="BM2" s="83" t="s">
        <v>2698</v>
      </c>
      <c r="BN2" s="83" t="s">
        <v>2698</v>
      </c>
      <c r="BO2" s="83" t="s">
        <v>2697</v>
      </c>
      <c r="BP2" s="83" t="s">
        <v>2697</v>
      </c>
      <c r="BQ2" s="83" t="s">
        <v>2699</v>
      </c>
      <c r="BR2" s="83" t="s">
        <v>2693</v>
      </c>
      <c r="BS2" s="83" t="s">
        <v>2699</v>
      </c>
      <c r="BT2" s="83" t="s">
        <v>2696</v>
      </c>
      <c r="BU2" s="83" t="s">
        <v>2699</v>
      </c>
      <c r="BV2" s="83" t="s">
        <v>2697</v>
      </c>
      <c r="BW2" s="83" t="s">
        <v>2693</v>
      </c>
      <c r="BX2" s="83" t="s">
        <v>2696</v>
      </c>
      <c r="BY2" s="83" t="s">
        <v>2699</v>
      </c>
      <c r="BZ2" s="83" t="s">
        <v>2699</v>
      </c>
      <c r="CA2" s="83" t="s">
        <v>2693</v>
      </c>
      <c r="CB2" s="83" t="s">
        <v>2694</v>
      </c>
      <c r="CC2" s="83" t="s">
        <v>2699</v>
      </c>
      <c r="CD2" s="83" t="s">
        <v>2696</v>
      </c>
      <c r="CF2" s="83" t="s">
        <v>601</v>
      </c>
      <c r="CG2" s="83" t="s">
        <v>602</v>
      </c>
      <c r="CH2" s="83" t="s">
        <v>2697</v>
      </c>
      <c r="CI2" s="83" t="s">
        <v>648</v>
      </c>
      <c r="CJ2" s="83" t="s">
        <v>2757</v>
      </c>
      <c r="CK2" s="144">
        <v>0</v>
      </c>
      <c r="CL2" s="99">
        <v>8000</v>
      </c>
      <c r="CM2" s="83" t="s">
        <v>4301</v>
      </c>
    </row>
    <row r="3" spans="1:91">
      <c r="A3" s="83" t="s">
        <v>3791</v>
      </c>
      <c r="B3" s="83" t="s">
        <v>3805</v>
      </c>
      <c r="D3" s="83" t="s">
        <v>688</v>
      </c>
      <c r="E3" s="83" t="s">
        <v>3850</v>
      </c>
      <c r="F3" s="83">
        <v>301</v>
      </c>
      <c r="G3" s="83" t="s">
        <v>1296</v>
      </c>
      <c r="H3" s="83" t="s">
        <v>1201</v>
      </c>
      <c r="I3" s="83" t="s">
        <v>1202</v>
      </c>
      <c r="J3" s="83" t="s">
        <v>1203</v>
      </c>
      <c r="K3" s="83" t="s">
        <v>565</v>
      </c>
      <c r="L3" s="83" t="s">
        <v>398</v>
      </c>
      <c r="M3" s="83" t="s">
        <v>399</v>
      </c>
      <c r="N3" s="83" t="s">
        <v>2752</v>
      </c>
      <c r="O3" s="83" t="s">
        <v>106</v>
      </c>
      <c r="P3" s="83">
        <v>0</v>
      </c>
      <c r="Q3" s="83" t="s">
        <v>106</v>
      </c>
      <c r="R3" s="83">
        <v>34</v>
      </c>
      <c r="S3" s="87">
        <v>31412</v>
      </c>
      <c r="T3" s="83" t="s">
        <v>2703</v>
      </c>
      <c r="U3" s="83" t="s">
        <v>401</v>
      </c>
      <c r="AC3" s="83" t="s">
        <v>401</v>
      </c>
      <c r="AD3" s="83">
        <v>0</v>
      </c>
      <c r="AF3" s="83">
        <v>210000</v>
      </c>
      <c r="AJ3" s="83">
        <v>1</v>
      </c>
      <c r="AK3" s="79">
        <v>0</v>
      </c>
      <c r="AL3" s="83">
        <v>0</v>
      </c>
      <c r="AM3" s="83" t="s">
        <v>2693</v>
      </c>
      <c r="BK3" s="83">
        <v>0</v>
      </c>
      <c r="BL3" s="83">
        <v>0</v>
      </c>
      <c r="BM3" s="83">
        <v>0</v>
      </c>
      <c r="BN3" s="83">
        <v>0</v>
      </c>
      <c r="BO3" s="83">
        <v>0</v>
      </c>
      <c r="BP3" s="83">
        <v>0</v>
      </c>
      <c r="BQ3" s="83">
        <v>0</v>
      </c>
      <c r="BR3" s="83">
        <v>0</v>
      </c>
      <c r="BS3" s="83">
        <v>0</v>
      </c>
      <c r="BT3" s="83">
        <v>0</v>
      </c>
      <c r="BU3" s="83">
        <v>1</v>
      </c>
      <c r="BV3" s="83">
        <v>0</v>
      </c>
      <c r="BW3" s="83">
        <v>0</v>
      </c>
      <c r="BX3" s="83">
        <v>0</v>
      </c>
      <c r="BY3" s="83">
        <v>0</v>
      </c>
      <c r="BZ3" s="83">
        <v>0</v>
      </c>
      <c r="CA3" s="83">
        <v>0</v>
      </c>
      <c r="CB3" s="83">
        <v>0</v>
      </c>
      <c r="CC3" s="83">
        <v>0</v>
      </c>
      <c r="CD3" s="83">
        <v>0</v>
      </c>
      <c r="CF3" s="83" t="s">
        <v>3980</v>
      </c>
      <c r="CG3" s="83" t="s">
        <v>3981</v>
      </c>
      <c r="CK3" s="144">
        <v>0</v>
      </c>
      <c r="CL3"/>
    </row>
    <row r="4" spans="1:91">
      <c r="A4" s="83" t="s">
        <v>1488</v>
      </c>
      <c r="B4" s="83" t="s">
        <v>691</v>
      </c>
      <c r="D4" s="83" t="s">
        <v>688</v>
      </c>
      <c r="E4" s="83" t="s">
        <v>691</v>
      </c>
      <c r="F4" s="83" t="s">
        <v>2699</v>
      </c>
      <c r="G4" s="83" t="s">
        <v>1805</v>
      </c>
      <c r="H4" s="83" t="s">
        <v>1201</v>
      </c>
      <c r="I4" s="83" t="s">
        <v>1202</v>
      </c>
      <c r="J4" s="83" t="s">
        <v>1203</v>
      </c>
      <c r="K4" s="83" t="s">
        <v>565</v>
      </c>
      <c r="L4" s="83" t="s">
        <v>398</v>
      </c>
      <c r="M4" s="83" t="s">
        <v>399</v>
      </c>
      <c r="N4" s="83" t="s">
        <v>2752</v>
      </c>
      <c r="O4" s="83" t="s">
        <v>106</v>
      </c>
      <c r="P4" s="83">
        <v>7</v>
      </c>
      <c r="Q4" s="83" t="s">
        <v>106</v>
      </c>
      <c r="R4" s="83" t="s">
        <v>2730</v>
      </c>
      <c r="S4" s="83" t="s">
        <v>2797</v>
      </c>
      <c r="T4" s="83" t="s">
        <v>2797</v>
      </c>
      <c r="U4" s="83" t="s">
        <v>401</v>
      </c>
      <c r="AC4" s="83" t="s">
        <v>401</v>
      </c>
      <c r="AJ4" s="83">
        <v>1</v>
      </c>
      <c r="AK4" s="83">
        <v>1</v>
      </c>
      <c r="AL4" s="83">
        <v>892297</v>
      </c>
      <c r="AM4" s="83" t="s">
        <v>2693</v>
      </c>
      <c r="BK4" s="83" t="s">
        <v>2694</v>
      </c>
      <c r="BL4" s="83" t="s">
        <v>2697</v>
      </c>
      <c r="BM4" s="83" t="s">
        <v>2693</v>
      </c>
      <c r="BN4" s="83" t="s">
        <v>2698</v>
      </c>
      <c r="BO4" s="83" t="s">
        <v>2697</v>
      </c>
      <c r="BP4" s="83" t="s">
        <v>2697</v>
      </c>
      <c r="BQ4" s="83" t="s">
        <v>2696</v>
      </c>
      <c r="BR4" s="83" t="s">
        <v>2693</v>
      </c>
      <c r="BS4" s="83" t="s">
        <v>2699</v>
      </c>
      <c r="BT4" s="83" t="s">
        <v>2696</v>
      </c>
      <c r="BU4" s="83" t="s">
        <v>2699</v>
      </c>
      <c r="BV4" s="83" t="s">
        <v>2696</v>
      </c>
      <c r="BW4" s="83" t="s">
        <v>2696</v>
      </c>
      <c r="BX4" s="83" t="s">
        <v>2696</v>
      </c>
      <c r="BY4" s="83" t="s">
        <v>2699</v>
      </c>
      <c r="BZ4" s="83" t="s">
        <v>2696</v>
      </c>
      <c r="CA4" s="83" t="s">
        <v>2693</v>
      </c>
      <c r="CB4" s="83">
        <v>3</v>
      </c>
      <c r="CC4" s="83" t="s">
        <v>2699</v>
      </c>
      <c r="CD4" s="83" t="s">
        <v>2699</v>
      </c>
      <c r="CF4" s="83" t="s">
        <v>1910</v>
      </c>
      <c r="CG4" s="83" t="s">
        <v>1911</v>
      </c>
      <c r="CH4" s="83" t="s">
        <v>2698</v>
      </c>
      <c r="CI4" s="83" t="s">
        <v>2009</v>
      </c>
      <c r="CJ4" s="83">
        <v>135</v>
      </c>
      <c r="CK4" s="144">
        <v>0</v>
      </c>
      <c r="CL4"/>
    </row>
    <row r="5" spans="1:91">
      <c r="A5" s="83" t="s">
        <v>3792</v>
      </c>
      <c r="B5" s="83" t="s">
        <v>3805</v>
      </c>
      <c r="D5" s="83" t="s">
        <v>688</v>
      </c>
      <c r="E5" s="83" t="s">
        <v>3851</v>
      </c>
      <c r="G5" s="83" t="s">
        <v>3808</v>
      </c>
      <c r="H5" s="83" t="s">
        <v>1201</v>
      </c>
      <c r="I5" s="83" t="s">
        <v>1202</v>
      </c>
      <c r="J5" s="83" t="s">
        <v>1203</v>
      </c>
      <c r="K5" s="83" t="s">
        <v>565</v>
      </c>
      <c r="L5" s="83" t="s">
        <v>398</v>
      </c>
      <c r="M5" s="83" t="s">
        <v>399</v>
      </c>
      <c r="N5" s="83" t="s">
        <v>3057</v>
      </c>
      <c r="O5" s="83" t="s">
        <v>106</v>
      </c>
      <c r="P5" s="83">
        <v>0</v>
      </c>
      <c r="Q5" s="83" t="s">
        <v>106</v>
      </c>
      <c r="R5" s="83">
        <v>34</v>
      </c>
      <c r="S5" s="87">
        <v>31412</v>
      </c>
      <c r="T5" s="83" t="s">
        <v>2703</v>
      </c>
      <c r="U5" s="83" t="s">
        <v>401</v>
      </c>
      <c r="AC5" s="83" t="s">
        <v>401</v>
      </c>
      <c r="AD5" s="83">
        <v>0</v>
      </c>
      <c r="AF5" s="83">
        <v>100000</v>
      </c>
      <c r="AJ5" s="83">
        <v>1</v>
      </c>
      <c r="AK5" s="79">
        <v>0</v>
      </c>
      <c r="AL5" s="83">
        <v>0</v>
      </c>
      <c r="AM5" s="83" t="s">
        <v>2693</v>
      </c>
      <c r="BK5" s="83">
        <v>0</v>
      </c>
      <c r="BL5" s="83">
        <v>0</v>
      </c>
      <c r="BM5" s="83">
        <v>0</v>
      </c>
      <c r="BN5" s="83">
        <v>0</v>
      </c>
      <c r="BO5" s="83">
        <v>0</v>
      </c>
      <c r="BP5" s="83">
        <v>0</v>
      </c>
      <c r="BQ5" s="83">
        <v>0</v>
      </c>
      <c r="BR5" s="83">
        <v>0</v>
      </c>
      <c r="BS5" s="83">
        <v>0</v>
      </c>
      <c r="BT5" s="83">
        <v>0</v>
      </c>
      <c r="BU5" s="83">
        <v>1</v>
      </c>
      <c r="BV5" s="83">
        <v>0</v>
      </c>
      <c r="BW5" s="83">
        <v>0</v>
      </c>
      <c r="BX5" s="83">
        <v>0</v>
      </c>
      <c r="BY5" s="83">
        <v>0</v>
      </c>
      <c r="BZ5" s="83">
        <v>0</v>
      </c>
      <c r="CA5" s="83">
        <v>0</v>
      </c>
      <c r="CB5" s="83">
        <v>0</v>
      </c>
      <c r="CC5" s="83">
        <v>0</v>
      </c>
      <c r="CD5" s="83">
        <v>0</v>
      </c>
      <c r="CF5" s="83" t="s">
        <v>3982</v>
      </c>
      <c r="CG5" s="83" t="s">
        <v>3983</v>
      </c>
      <c r="CK5" s="144">
        <v>0</v>
      </c>
      <c r="CL5"/>
    </row>
    <row r="6" spans="1:91">
      <c r="A6" s="83" t="s">
        <v>3793</v>
      </c>
      <c r="B6" s="83" t="s">
        <v>3816</v>
      </c>
      <c r="D6" s="83" t="s">
        <v>688</v>
      </c>
      <c r="E6" s="83" t="s">
        <v>3852</v>
      </c>
      <c r="F6" s="83">
        <v>8541</v>
      </c>
      <c r="G6" s="83" t="s">
        <v>1878</v>
      </c>
      <c r="H6" s="83" t="s">
        <v>1201</v>
      </c>
      <c r="I6" s="83" t="s">
        <v>1202</v>
      </c>
      <c r="J6" s="83" t="s">
        <v>1203</v>
      </c>
      <c r="K6" s="83" t="s">
        <v>565</v>
      </c>
      <c r="L6" s="83" t="s">
        <v>398</v>
      </c>
      <c r="M6" s="83" t="s">
        <v>399</v>
      </c>
      <c r="N6" s="83" t="s">
        <v>2711</v>
      </c>
      <c r="O6" s="83" t="s">
        <v>106</v>
      </c>
      <c r="P6" s="83">
        <v>0</v>
      </c>
      <c r="Q6" s="83" t="s">
        <v>106</v>
      </c>
      <c r="R6" s="83">
        <v>34</v>
      </c>
      <c r="S6" s="87">
        <v>31412</v>
      </c>
      <c r="T6" s="83" t="s">
        <v>2703</v>
      </c>
      <c r="U6" s="83" t="s">
        <v>401</v>
      </c>
      <c r="AC6" s="83" t="s">
        <v>401</v>
      </c>
      <c r="AD6" s="83">
        <v>0</v>
      </c>
      <c r="AF6" s="83">
        <v>180000</v>
      </c>
      <c r="AJ6" s="83">
        <v>1</v>
      </c>
      <c r="AK6" s="79">
        <v>0</v>
      </c>
      <c r="AL6" s="83">
        <v>0</v>
      </c>
      <c r="AM6" s="83" t="s">
        <v>2693</v>
      </c>
      <c r="BK6" s="83">
        <v>0</v>
      </c>
      <c r="BL6" s="83">
        <v>0</v>
      </c>
      <c r="BM6" s="83">
        <v>0</v>
      </c>
      <c r="BN6" s="83">
        <v>0</v>
      </c>
      <c r="BO6" s="83">
        <v>0</v>
      </c>
      <c r="BP6" s="83">
        <v>0</v>
      </c>
      <c r="BQ6" s="83">
        <v>0</v>
      </c>
      <c r="BR6" s="83">
        <v>0</v>
      </c>
      <c r="BS6" s="83">
        <v>0</v>
      </c>
      <c r="BT6" s="83">
        <v>0</v>
      </c>
      <c r="BU6" s="83">
        <v>1</v>
      </c>
      <c r="BV6" s="83">
        <v>0</v>
      </c>
      <c r="BW6" s="83">
        <v>0</v>
      </c>
      <c r="BX6" s="83">
        <v>0</v>
      </c>
      <c r="BY6" s="83">
        <v>0</v>
      </c>
      <c r="BZ6" s="83">
        <v>0</v>
      </c>
      <c r="CA6" s="83">
        <v>0</v>
      </c>
      <c r="CB6" s="83">
        <v>0</v>
      </c>
      <c r="CC6" s="83">
        <v>0</v>
      </c>
      <c r="CD6" s="83">
        <v>0</v>
      </c>
      <c r="CF6" s="83" t="s">
        <v>3984</v>
      </c>
      <c r="CG6" s="83" t="s">
        <v>3985</v>
      </c>
      <c r="CK6" s="144">
        <v>0</v>
      </c>
      <c r="CL6"/>
    </row>
    <row r="7" spans="1:91">
      <c r="A7" s="83" t="s">
        <v>654</v>
      </c>
      <c r="B7" s="83" t="s">
        <v>3388</v>
      </c>
      <c r="D7" s="83" t="s">
        <v>688</v>
      </c>
      <c r="E7" s="83" t="s">
        <v>2358</v>
      </c>
      <c r="F7" s="83" t="s">
        <v>3389</v>
      </c>
      <c r="G7" s="83" t="s">
        <v>1184</v>
      </c>
      <c r="H7" s="83" t="s">
        <v>566</v>
      </c>
      <c r="I7" s="83" t="s">
        <v>567</v>
      </c>
      <c r="J7" s="83" t="s">
        <v>564</v>
      </c>
      <c r="K7" s="83" t="s">
        <v>565</v>
      </c>
      <c r="L7" s="83" t="s">
        <v>398</v>
      </c>
      <c r="M7" s="83" t="s">
        <v>399</v>
      </c>
      <c r="N7" s="83" t="s">
        <v>2792</v>
      </c>
      <c r="O7" s="83" t="s">
        <v>106</v>
      </c>
      <c r="P7" s="83">
        <v>9</v>
      </c>
      <c r="Q7" s="83" t="s">
        <v>106</v>
      </c>
      <c r="R7" s="83" t="s">
        <v>2799</v>
      </c>
      <c r="S7" s="83" t="s">
        <v>1455</v>
      </c>
      <c r="T7" s="83" t="s">
        <v>2703</v>
      </c>
      <c r="U7" s="83" t="s">
        <v>401</v>
      </c>
      <c r="AC7" s="83" t="s">
        <v>401</v>
      </c>
      <c r="AD7" s="83">
        <v>9792000</v>
      </c>
      <c r="AF7" s="83">
        <v>2435000</v>
      </c>
      <c r="AJ7" s="83">
        <v>1</v>
      </c>
      <c r="AK7" s="83">
        <v>2</v>
      </c>
      <c r="AL7" s="83">
        <v>102166</v>
      </c>
      <c r="AM7" s="83" t="s">
        <v>2693</v>
      </c>
      <c r="BK7" s="83" t="s">
        <v>2694</v>
      </c>
      <c r="BL7" s="83" t="s">
        <v>2693</v>
      </c>
      <c r="BM7" s="83" t="s">
        <v>2698</v>
      </c>
      <c r="BN7" s="83" t="s">
        <v>2698</v>
      </c>
      <c r="BO7" s="83" t="s">
        <v>2697</v>
      </c>
      <c r="BP7" s="83" t="s">
        <v>2697</v>
      </c>
      <c r="BQ7" s="83" t="s">
        <v>2699</v>
      </c>
      <c r="BR7" s="83" t="s">
        <v>2693</v>
      </c>
      <c r="BS7" s="83" t="s">
        <v>2699</v>
      </c>
      <c r="BT7" s="83" t="s">
        <v>2696</v>
      </c>
      <c r="BU7" s="83" t="s">
        <v>2699</v>
      </c>
      <c r="BV7" s="83" t="s">
        <v>2699</v>
      </c>
      <c r="BW7" s="83" t="s">
        <v>2693</v>
      </c>
      <c r="BX7" s="83" t="s">
        <v>2696</v>
      </c>
      <c r="BY7" s="83" t="s">
        <v>2699</v>
      </c>
      <c r="BZ7" s="83" t="s">
        <v>2699</v>
      </c>
      <c r="CA7" s="83" t="s">
        <v>2693</v>
      </c>
      <c r="CB7" s="83" t="s">
        <v>2694</v>
      </c>
      <c r="CC7" s="83" t="s">
        <v>2699</v>
      </c>
      <c r="CD7" s="83" t="s">
        <v>2699</v>
      </c>
      <c r="CF7" s="83" t="s">
        <v>601</v>
      </c>
      <c r="CG7" s="83" t="s">
        <v>603</v>
      </c>
      <c r="CH7" s="83" t="s">
        <v>2697</v>
      </c>
      <c r="CI7" s="83" t="s">
        <v>648</v>
      </c>
      <c r="CJ7" s="83" t="s">
        <v>2757</v>
      </c>
      <c r="CK7" s="144">
        <v>0</v>
      </c>
      <c r="CL7" s="99">
        <v>84000</v>
      </c>
      <c r="CM7" s="83" t="s">
        <v>4302</v>
      </c>
    </row>
    <row r="8" spans="1:91">
      <c r="A8" s="83" t="s">
        <v>654</v>
      </c>
      <c r="B8" s="83" t="s">
        <v>3388</v>
      </c>
      <c r="D8" s="83" t="s">
        <v>673</v>
      </c>
      <c r="E8" s="83" t="s">
        <v>546</v>
      </c>
      <c r="F8" s="83" t="s">
        <v>3389</v>
      </c>
      <c r="G8" s="83" t="s">
        <v>1184</v>
      </c>
      <c r="H8" s="83" t="s">
        <v>566</v>
      </c>
      <c r="I8" s="83" t="s">
        <v>567</v>
      </c>
      <c r="J8" s="83" t="s">
        <v>564</v>
      </c>
      <c r="K8" s="83" t="s">
        <v>565</v>
      </c>
      <c r="L8" s="83" t="s">
        <v>398</v>
      </c>
      <c r="M8" s="83" t="s">
        <v>399</v>
      </c>
      <c r="N8" s="83" t="s">
        <v>2792</v>
      </c>
      <c r="O8" s="83" t="s">
        <v>106</v>
      </c>
      <c r="P8" s="83">
        <v>9</v>
      </c>
      <c r="Q8" s="83" t="s">
        <v>106</v>
      </c>
      <c r="R8" s="83" t="s">
        <v>2799</v>
      </c>
      <c r="S8" s="83" t="s">
        <v>2712</v>
      </c>
      <c r="T8" s="83" t="s">
        <v>2703</v>
      </c>
      <c r="U8" s="83" t="s">
        <v>401</v>
      </c>
      <c r="AC8" s="83" t="s">
        <v>401</v>
      </c>
      <c r="AD8" s="83">
        <v>18000</v>
      </c>
      <c r="AF8" s="83">
        <v>8000</v>
      </c>
      <c r="AJ8" s="83">
        <v>1</v>
      </c>
      <c r="AK8" s="83">
        <v>1</v>
      </c>
      <c r="AL8" s="83">
        <v>400</v>
      </c>
      <c r="AM8" s="83" t="s">
        <v>2693</v>
      </c>
      <c r="BK8" s="83" t="s">
        <v>2694</v>
      </c>
      <c r="BL8" s="83" t="s">
        <v>2693</v>
      </c>
      <c r="BM8" s="83" t="s">
        <v>2698</v>
      </c>
      <c r="BN8" s="83" t="s">
        <v>2698</v>
      </c>
      <c r="BO8" s="83" t="s">
        <v>2697</v>
      </c>
      <c r="BP8" s="83" t="s">
        <v>2697</v>
      </c>
      <c r="BQ8" s="83" t="s">
        <v>2699</v>
      </c>
      <c r="BR8" s="83" t="s">
        <v>2693</v>
      </c>
      <c r="BS8" s="83" t="s">
        <v>2699</v>
      </c>
      <c r="BT8" s="83" t="s">
        <v>2696</v>
      </c>
      <c r="BU8" s="83" t="s">
        <v>2699</v>
      </c>
      <c r="BV8" s="83" t="s">
        <v>2697</v>
      </c>
      <c r="BW8" s="83" t="s">
        <v>2693</v>
      </c>
      <c r="BX8" s="83" t="s">
        <v>2696</v>
      </c>
      <c r="BY8" s="83" t="s">
        <v>2699</v>
      </c>
      <c r="BZ8" s="83" t="s">
        <v>2699</v>
      </c>
      <c r="CA8" s="83" t="s">
        <v>2693</v>
      </c>
      <c r="CB8" s="83" t="s">
        <v>2694</v>
      </c>
      <c r="CC8" s="83" t="s">
        <v>2696</v>
      </c>
      <c r="CD8" s="83" t="s">
        <v>2696</v>
      </c>
      <c r="CF8" s="83" t="s">
        <v>604</v>
      </c>
      <c r="CG8" s="83" t="s">
        <v>605</v>
      </c>
      <c r="CH8" s="83" t="s">
        <v>2697</v>
      </c>
      <c r="CI8" s="83" t="s">
        <v>648</v>
      </c>
      <c r="CJ8" s="83" t="s">
        <v>2757</v>
      </c>
      <c r="CK8" s="144">
        <v>0</v>
      </c>
      <c r="CL8"/>
    </row>
    <row r="9" spans="1:91">
      <c r="A9" s="83" t="s">
        <v>654</v>
      </c>
      <c r="B9" s="83" t="s">
        <v>3388</v>
      </c>
      <c r="D9" s="83" t="s">
        <v>714</v>
      </c>
      <c r="E9" s="83" t="s">
        <v>547</v>
      </c>
      <c r="F9" s="83" t="s">
        <v>3389</v>
      </c>
      <c r="G9" s="83" t="s">
        <v>1184</v>
      </c>
      <c r="H9" s="83" t="s">
        <v>566</v>
      </c>
      <c r="I9" s="83" t="s">
        <v>567</v>
      </c>
      <c r="J9" s="83" t="s">
        <v>564</v>
      </c>
      <c r="K9" s="83" t="s">
        <v>565</v>
      </c>
      <c r="L9" s="83" t="s">
        <v>398</v>
      </c>
      <c r="M9" s="83" t="s">
        <v>399</v>
      </c>
      <c r="N9" s="83" t="s">
        <v>2792</v>
      </c>
      <c r="O9" s="83" t="s">
        <v>106</v>
      </c>
      <c r="P9" s="83">
        <v>9</v>
      </c>
      <c r="Q9" s="83" t="s">
        <v>106</v>
      </c>
      <c r="R9" s="83" t="s">
        <v>2799</v>
      </c>
      <c r="S9" s="83" t="s">
        <v>2712</v>
      </c>
      <c r="T9" s="83" t="s">
        <v>2703</v>
      </c>
      <c r="U9" s="83" t="s">
        <v>401</v>
      </c>
      <c r="AC9" s="83" t="s">
        <v>401</v>
      </c>
      <c r="AD9" s="83">
        <v>135000</v>
      </c>
      <c r="AF9" s="83">
        <v>0</v>
      </c>
      <c r="AJ9" s="83">
        <v>1</v>
      </c>
      <c r="AK9" s="83">
        <v>1</v>
      </c>
      <c r="AL9" s="83">
        <v>2680</v>
      </c>
      <c r="AM9" s="83" t="s">
        <v>2693</v>
      </c>
      <c r="BK9" s="83" t="s">
        <v>2694</v>
      </c>
      <c r="BL9" s="83" t="s">
        <v>2693</v>
      </c>
      <c r="BM9" s="83" t="s">
        <v>2698</v>
      </c>
      <c r="BN9" s="83" t="s">
        <v>2698</v>
      </c>
      <c r="BO9" s="83" t="s">
        <v>2697</v>
      </c>
      <c r="BP9" s="83" t="s">
        <v>2697</v>
      </c>
      <c r="BQ9" s="83" t="s">
        <v>2699</v>
      </c>
      <c r="BR9" s="83" t="s">
        <v>2693</v>
      </c>
      <c r="BS9" s="83" t="s">
        <v>2699</v>
      </c>
      <c r="BT9" s="83" t="s">
        <v>2696</v>
      </c>
      <c r="BU9" s="83" t="s">
        <v>2699</v>
      </c>
      <c r="BV9" s="83" t="s">
        <v>2697</v>
      </c>
      <c r="BW9" s="83" t="s">
        <v>2693</v>
      </c>
      <c r="BX9" s="83" t="s">
        <v>2696</v>
      </c>
      <c r="BY9" s="83" t="s">
        <v>2699</v>
      </c>
      <c r="BZ9" s="83" t="s">
        <v>2699</v>
      </c>
      <c r="CA9" s="83" t="s">
        <v>2693</v>
      </c>
      <c r="CB9" s="83" t="s">
        <v>2694</v>
      </c>
      <c r="CC9" s="83" t="s">
        <v>2696</v>
      </c>
      <c r="CD9" s="83" t="s">
        <v>2696</v>
      </c>
      <c r="CF9" s="83" t="s">
        <v>606</v>
      </c>
      <c r="CG9" s="83" t="s">
        <v>607</v>
      </c>
      <c r="CH9" s="83" t="s">
        <v>2697</v>
      </c>
      <c r="CI9" s="83" t="s">
        <v>648</v>
      </c>
      <c r="CJ9" s="83" t="s">
        <v>2757</v>
      </c>
      <c r="CK9" s="144">
        <v>0</v>
      </c>
      <c r="CL9"/>
    </row>
    <row r="10" spans="1:91">
      <c r="A10" s="83" t="s">
        <v>654</v>
      </c>
      <c r="B10" s="83" t="s">
        <v>3388</v>
      </c>
      <c r="D10" s="83" t="s">
        <v>716</v>
      </c>
      <c r="E10" s="83" t="s">
        <v>3390</v>
      </c>
      <c r="F10" s="83" t="s">
        <v>3389</v>
      </c>
      <c r="G10" s="83" t="s">
        <v>1184</v>
      </c>
      <c r="H10" s="83" t="s">
        <v>566</v>
      </c>
      <c r="I10" s="83" t="s">
        <v>567</v>
      </c>
      <c r="J10" s="83" t="s">
        <v>564</v>
      </c>
      <c r="K10" s="83" t="s">
        <v>565</v>
      </c>
      <c r="L10" s="83" t="s">
        <v>398</v>
      </c>
      <c r="M10" s="83" t="s">
        <v>399</v>
      </c>
      <c r="N10" s="83" t="s">
        <v>2792</v>
      </c>
      <c r="O10" s="83" t="s">
        <v>106</v>
      </c>
      <c r="P10" s="83">
        <v>9</v>
      </c>
      <c r="Q10" s="83" t="s">
        <v>106</v>
      </c>
      <c r="R10" s="83" t="s">
        <v>2799</v>
      </c>
      <c r="S10" s="83" t="s">
        <v>1446</v>
      </c>
      <c r="T10" s="83" t="s">
        <v>2703</v>
      </c>
      <c r="U10" s="83" t="s">
        <v>401</v>
      </c>
      <c r="AC10" s="83" t="s">
        <v>401</v>
      </c>
      <c r="AD10" s="83">
        <v>70000</v>
      </c>
      <c r="AF10" s="83">
        <v>21000</v>
      </c>
      <c r="AJ10" s="83">
        <v>1</v>
      </c>
      <c r="AK10" s="83">
        <v>1</v>
      </c>
      <c r="AL10" s="83">
        <v>1650</v>
      </c>
      <c r="AM10" s="83" t="s">
        <v>2693</v>
      </c>
      <c r="BK10" s="83" t="s">
        <v>2694</v>
      </c>
      <c r="BL10" s="83" t="s">
        <v>2693</v>
      </c>
      <c r="BM10" s="83" t="s">
        <v>2698</v>
      </c>
      <c r="BN10" s="83" t="s">
        <v>2698</v>
      </c>
      <c r="BO10" s="83" t="s">
        <v>2697</v>
      </c>
      <c r="BP10" s="83" t="s">
        <v>2697</v>
      </c>
      <c r="BQ10" s="83" t="s">
        <v>2699</v>
      </c>
      <c r="BR10" s="83" t="s">
        <v>2693</v>
      </c>
      <c r="BS10" s="83" t="s">
        <v>2699</v>
      </c>
      <c r="BT10" s="83" t="s">
        <v>2696</v>
      </c>
      <c r="BU10" s="83" t="s">
        <v>2699</v>
      </c>
      <c r="BV10" s="83" t="s">
        <v>2697</v>
      </c>
      <c r="BW10" s="83" t="s">
        <v>2693</v>
      </c>
      <c r="BX10" s="83" t="s">
        <v>2696</v>
      </c>
      <c r="BY10" s="83" t="s">
        <v>2699</v>
      </c>
      <c r="BZ10" s="83" t="s">
        <v>2699</v>
      </c>
      <c r="CA10" s="83" t="s">
        <v>2693</v>
      </c>
      <c r="CB10" s="83" t="s">
        <v>2694</v>
      </c>
      <c r="CC10" s="83" t="s">
        <v>2696</v>
      </c>
      <c r="CD10" s="83" t="s">
        <v>2696</v>
      </c>
      <c r="CF10" s="83" t="s">
        <v>608</v>
      </c>
      <c r="CG10" s="83" t="s">
        <v>609</v>
      </c>
      <c r="CH10" s="83" t="s">
        <v>2697</v>
      </c>
      <c r="CI10" s="83" t="s">
        <v>648</v>
      </c>
      <c r="CJ10" s="83" t="s">
        <v>2757</v>
      </c>
      <c r="CK10" s="144">
        <v>0</v>
      </c>
      <c r="CL10"/>
    </row>
    <row r="11" spans="1:91">
      <c r="A11" s="83" t="s">
        <v>654</v>
      </c>
      <c r="B11" s="83" t="s">
        <v>3388</v>
      </c>
      <c r="D11" s="83" t="s">
        <v>717</v>
      </c>
      <c r="E11" s="83" t="s">
        <v>548</v>
      </c>
      <c r="F11" s="83" t="s">
        <v>3389</v>
      </c>
      <c r="G11" s="83" t="s">
        <v>1184</v>
      </c>
      <c r="H11" s="83" t="s">
        <v>566</v>
      </c>
      <c r="I11" s="83" t="s">
        <v>567</v>
      </c>
      <c r="J11" s="83" t="s">
        <v>564</v>
      </c>
      <c r="K11" s="83" t="s">
        <v>565</v>
      </c>
      <c r="L11" s="83" t="s">
        <v>398</v>
      </c>
      <c r="M11" s="83" t="s">
        <v>399</v>
      </c>
      <c r="N11" s="83" t="s">
        <v>2792</v>
      </c>
      <c r="O11" s="83" t="s">
        <v>106</v>
      </c>
      <c r="P11" s="83">
        <v>9</v>
      </c>
      <c r="Q11" s="83" t="s">
        <v>106</v>
      </c>
      <c r="R11" s="83" t="s">
        <v>2799</v>
      </c>
      <c r="S11" s="83" t="s">
        <v>1446</v>
      </c>
      <c r="T11" s="83" t="s">
        <v>2703</v>
      </c>
      <c r="U11" s="83" t="s">
        <v>401</v>
      </c>
      <c r="AC11" s="83" t="s">
        <v>401</v>
      </c>
      <c r="AD11" s="83">
        <v>241000</v>
      </c>
      <c r="AF11" s="83">
        <v>19000</v>
      </c>
      <c r="AJ11" s="83">
        <v>1</v>
      </c>
      <c r="AK11" s="83">
        <v>1</v>
      </c>
      <c r="AL11" s="83">
        <v>1500</v>
      </c>
      <c r="AM11" s="83" t="s">
        <v>2693</v>
      </c>
      <c r="BK11" s="83" t="s">
        <v>2694</v>
      </c>
      <c r="BL11" s="83" t="s">
        <v>2693</v>
      </c>
      <c r="BM11" s="83" t="s">
        <v>2698</v>
      </c>
      <c r="BN11" s="83" t="s">
        <v>2698</v>
      </c>
      <c r="BO11" s="83" t="s">
        <v>2697</v>
      </c>
      <c r="BP11" s="83" t="s">
        <v>2697</v>
      </c>
      <c r="BQ11" s="83" t="s">
        <v>2699</v>
      </c>
      <c r="BR11" s="83" t="s">
        <v>2693</v>
      </c>
      <c r="BS11" s="83" t="s">
        <v>2699</v>
      </c>
      <c r="BT11" s="83" t="s">
        <v>2696</v>
      </c>
      <c r="BU11" s="83" t="s">
        <v>2699</v>
      </c>
      <c r="BV11" s="83" t="s">
        <v>2697</v>
      </c>
      <c r="BW11" s="83" t="s">
        <v>2693</v>
      </c>
      <c r="BX11" s="83" t="s">
        <v>2696</v>
      </c>
      <c r="BY11" s="83" t="s">
        <v>2699</v>
      </c>
      <c r="BZ11" s="83" t="s">
        <v>2699</v>
      </c>
      <c r="CA11" s="83" t="s">
        <v>2693</v>
      </c>
      <c r="CB11" s="83" t="s">
        <v>2694</v>
      </c>
      <c r="CC11" s="83" t="s">
        <v>2699</v>
      </c>
      <c r="CD11" s="83" t="s">
        <v>2696</v>
      </c>
      <c r="CF11" s="83" t="s">
        <v>610</v>
      </c>
      <c r="CG11" s="83" t="s">
        <v>611</v>
      </c>
      <c r="CH11" s="83" t="s">
        <v>2697</v>
      </c>
      <c r="CI11" s="83" t="s">
        <v>648</v>
      </c>
      <c r="CJ11" s="83" t="s">
        <v>2757</v>
      </c>
      <c r="CK11" s="144">
        <v>0</v>
      </c>
      <c r="CL11"/>
    </row>
    <row r="12" spans="1:91">
      <c r="A12" s="83" t="s">
        <v>1135</v>
      </c>
      <c r="B12" s="83" t="s">
        <v>3408</v>
      </c>
      <c r="D12" s="83" t="s">
        <v>688</v>
      </c>
      <c r="E12" s="83" t="s">
        <v>1062</v>
      </c>
      <c r="F12" s="83" t="s">
        <v>1334</v>
      </c>
      <c r="G12" s="83" t="s">
        <v>1148</v>
      </c>
      <c r="H12" s="83" t="s">
        <v>1201</v>
      </c>
      <c r="I12" s="83" t="s">
        <v>1202</v>
      </c>
      <c r="J12" s="83" t="s">
        <v>1203</v>
      </c>
      <c r="K12" s="83" t="s">
        <v>565</v>
      </c>
      <c r="L12" s="83" t="s">
        <v>398</v>
      </c>
      <c r="M12" s="83" t="s">
        <v>399</v>
      </c>
      <c r="N12" s="83" t="s">
        <v>2792</v>
      </c>
      <c r="O12" s="83" t="s">
        <v>106</v>
      </c>
      <c r="P12" s="83">
        <v>8</v>
      </c>
      <c r="Q12" s="83" t="s">
        <v>106</v>
      </c>
      <c r="R12" s="83" t="s">
        <v>2799</v>
      </c>
      <c r="S12" s="83" t="s">
        <v>2772</v>
      </c>
      <c r="T12" s="83" t="s">
        <v>2703</v>
      </c>
      <c r="U12" s="83" t="s">
        <v>401</v>
      </c>
      <c r="AC12" s="83" t="s">
        <v>401</v>
      </c>
      <c r="AD12" s="83">
        <v>239000</v>
      </c>
      <c r="AF12" s="83">
        <v>41000</v>
      </c>
      <c r="AJ12" s="83">
        <v>1</v>
      </c>
      <c r="AK12" s="83">
        <v>1</v>
      </c>
      <c r="AL12" s="83">
        <v>3440</v>
      </c>
      <c r="AM12" s="83" t="s">
        <v>2693</v>
      </c>
      <c r="BK12" s="83" t="s">
        <v>2694</v>
      </c>
      <c r="BL12" s="83" t="s">
        <v>2693</v>
      </c>
      <c r="BM12" s="83" t="s">
        <v>2693</v>
      </c>
      <c r="BN12" s="83" t="s">
        <v>2698</v>
      </c>
      <c r="BO12" s="83" t="s">
        <v>2697</v>
      </c>
      <c r="BP12" s="83" t="s">
        <v>2697</v>
      </c>
      <c r="BQ12" s="83" t="s">
        <v>2699</v>
      </c>
      <c r="BR12" s="83" t="s">
        <v>2693</v>
      </c>
      <c r="BS12" s="83" t="s">
        <v>2699</v>
      </c>
      <c r="BT12" s="83" t="s">
        <v>2696</v>
      </c>
      <c r="BU12" s="83" t="s">
        <v>2699</v>
      </c>
      <c r="BV12" s="83" t="s">
        <v>2697</v>
      </c>
      <c r="BW12" s="83" t="s">
        <v>2698</v>
      </c>
      <c r="BX12" s="83" t="s">
        <v>2696</v>
      </c>
      <c r="BY12" s="83" t="s">
        <v>2699</v>
      </c>
      <c r="BZ12" s="83" t="s">
        <v>2699</v>
      </c>
      <c r="CA12" s="83" t="s">
        <v>2693</v>
      </c>
      <c r="CB12" s="83" t="s">
        <v>2694</v>
      </c>
      <c r="CC12" s="83" t="s">
        <v>2699</v>
      </c>
      <c r="CD12" s="83" t="s">
        <v>2696</v>
      </c>
      <c r="CF12" s="83" t="s">
        <v>1063</v>
      </c>
      <c r="CG12" s="83" t="s">
        <v>1064</v>
      </c>
      <c r="CH12" s="83" t="s">
        <v>2695</v>
      </c>
      <c r="CI12" s="83" t="s">
        <v>648</v>
      </c>
      <c r="CJ12" s="83" t="s">
        <v>2780</v>
      </c>
      <c r="CK12" s="144">
        <v>0</v>
      </c>
      <c r="CL12"/>
    </row>
    <row r="13" spans="1:91">
      <c r="A13" s="83" t="s">
        <v>1137</v>
      </c>
      <c r="B13" s="83" t="s">
        <v>2364</v>
      </c>
      <c r="D13" s="83" t="s">
        <v>688</v>
      </c>
      <c r="E13" s="83" t="s">
        <v>1065</v>
      </c>
      <c r="F13" s="83" t="s">
        <v>3409</v>
      </c>
      <c r="G13" s="83" t="s">
        <v>1148</v>
      </c>
      <c r="H13" s="83" t="s">
        <v>1201</v>
      </c>
      <c r="I13" s="83" t="s">
        <v>1202</v>
      </c>
      <c r="J13" s="83" t="s">
        <v>1203</v>
      </c>
      <c r="K13" s="83" t="s">
        <v>565</v>
      </c>
      <c r="L13" s="83" t="s">
        <v>398</v>
      </c>
      <c r="M13" s="83" t="s">
        <v>399</v>
      </c>
      <c r="N13" s="83" t="s">
        <v>2792</v>
      </c>
      <c r="O13" s="83" t="s">
        <v>106</v>
      </c>
      <c r="P13" s="83">
        <v>5</v>
      </c>
      <c r="Q13" s="83" t="s">
        <v>106</v>
      </c>
      <c r="R13" s="83" t="s">
        <v>2799</v>
      </c>
      <c r="S13" s="83" t="s">
        <v>1465</v>
      </c>
      <c r="T13" s="83" t="s">
        <v>2703</v>
      </c>
      <c r="U13" s="83" t="s">
        <v>401</v>
      </c>
      <c r="AC13" s="83" t="s">
        <v>401</v>
      </c>
      <c r="AJ13" s="83">
        <v>1</v>
      </c>
      <c r="AK13" s="83">
        <v>1</v>
      </c>
      <c r="AL13" s="83">
        <v>238</v>
      </c>
      <c r="AM13" s="83" t="s">
        <v>2693</v>
      </c>
      <c r="BK13" s="83" t="s">
        <v>2694</v>
      </c>
      <c r="BL13" s="83" t="s">
        <v>2695</v>
      </c>
      <c r="BM13" s="83" t="s">
        <v>2693</v>
      </c>
      <c r="BN13" s="83" t="s">
        <v>2698</v>
      </c>
      <c r="BO13" s="83" t="s">
        <v>2697</v>
      </c>
      <c r="BP13" s="83" t="s">
        <v>2699</v>
      </c>
      <c r="BQ13" s="83" t="s">
        <v>2699</v>
      </c>
      <c r="BR13" s="83" t="s">
        <v>2693</v>
      </c>
      <c r="BS13" s="83" t="s">
        <v>2699</v>
      </c>
      <c r="BT13" s="83" t="s">
        <v>2696</v>
      </c>
      <c r="BU13" s="83" t="s">
        <v>2699</v>
      </c>
      <c r="BV13" s="83" t="s">
        <v>2697</v>
      </c>
      <c r="BW13" s="83" t="s">
        <v>2698</v>
      </c>
      <c r="BX13" s="83" t="s">
        <v>2696</v>
      </c>
      <c r="BY13" s="83" t="s">
        <v>2699</v>
      </c>
      <c r="BZ13" s="83" t="s">
        <v>2699</v>
      </c>
      <c r="CA13" s="83" t="s">
        <v>2693</v>
      </c>
      <c r="CB13" s="83" t="s">
        <v>2694</v>
      </c>
      <c r="CC13" s="83" t="s">
        <v>2699</v>
      </c>
      <c r="CD13" s="83" t="s">
        <v>2696</v>
      </c>
      <c r="CF13" s="83" t="s">
        <v>1066</v>
      </c>
      <c r="CG13" s="83" t="s">
        <v>1067</v>
      </c>
      <c r="CH13" s="83" t="s">
        <v>2725</v>
      </c>
      <c r="CI13" s="83" t="s">
        <v>1358</v>
      </c>
      <c r="CJ13" s="83" t="s">
        <v>2726</v>
      </c>
      <c r="CK13" s="144">
        <v>0</v>
      </c>
      <c r="CL13"/>
    </row>
    <row r="14" spans="1:91">
      <c r="A14" s="83" t="s">
        <v>1136</v>
      </c>
      <c r="B14" s="83" t="s">
        <v>3410</v>
      </c>
      <c r="D14" s="83" t="s">
        <v>688</v>
      </c>
      <c r="E14" s="83" t="s">
        <v>2365</v>
      </c>
      <c r="F14" s="83" t="s">
        <v>3411</v>
      </c>
      <c r="G14" s="83" t="s">
        <v>1148</v>
      </c>
      <c r="H14" s="83" t="s">
        <v>1201</v>
      </c>
      <c r="I14" s="83" t="s">
        <v>1202</v>
      </c>
      <c r="J14" s="83" t="s">
        <v>1203</v>
      </c>
      <c r="K14" s="83" t="s">
        <v>565</v>
      </c>
      <c r="L14" s="83" t="s">
        <v>398</v>
      </c>
      <c r="M14" s="83" t="s">
        <v>399</v>
      </c>
      <c r="N14" s="83" t="s">
        <v>2792</v>
      </c>
      <c r="O14" s="83" t="s">
        <v>106</v>
      </c>
      <c r="P14" s="83">
        <v>4</v>
      </c>
      <c r="Q14" s="83" t="s">
        <v>106</v>
      </c>
      <c r="R14" s="83" t="s">
        <v>2799</v>
      </c>
      <c r="S14" s="83" t="s">
        <v>1466</v>
      </c>
      <c r="T14" s="83" t="s">
        <v>2703</v>
      </c>
      <c r="U14" s="83" t="s">
        <v>401</v>
      </c>
      <c r="AC14" s="83" t="s">
        <v>401</v>
      </c>
      <c r="AD14" s="83">
        <v>39000</v>
      </c>
      <c r="AF14" s="83">
        <v>0</v>
      </c>
      <c r="AJ14" s="83">
        <v>1</v>
      </c>
      <c r="AK14" s="83">
        <v>1</v>
      </c>
      <c r="AL14" s="83">
        <v>400</v>
      </c>
      <c r="AM14" s="83" t="s">
        <v>2693</v>
      </c>
      <c r="BK14" s="83" t="s">
        <v>2694</v>
      </c>
      <c r="BL14" s="83" t="s">
        <v>2695</v>
      </c>
      <c r="BM14" s="83" t="s">
        <v>2693</v>
      </c>
      <c r="BN14" s="83" t="s">
        <v>2698</v>
      </c>
      <c r="BO14" s="83" t="s">
        <v>2697</v>
      </c>
      <c r="BP14" s="83" t="s">
        <v>2695</v>
      </c>
      <c r="BQ14" s="83" t="s">
        <v>2699</v>
      </c>
      <c r="BR14" s="83" t="s">
        <v>2693</v>
      </c>
      <c r="BS14" s="83" t="s">
        <v>2699</v>
      </c>
      <c r="BT14" s="83" t="s">
        <v>2696</v>
      </c>
      <c r="BU14" s="83" t="s">
        <v>2699</v>
      </c>
      <c r="BV14" s="83" t="s">
        <v>2697</v>
      </c>
      <c r="BW14" s="83" t="s">
        <v>2698</v>
      </c>
      <c r="BX14" s="83" t="s">
        <v>2696</v>
      </c>
      <c r="BY14" s="83" t="s">
        <v>2699</v>
      </c>
      <c r="BZ14" s="83" t="s">
        <v>2699</v>
      </c>
      <c r="CA14" s="83" t="s">
        <v>2693</v>
      </c>
      <c r="CB14" s="83" t="s">
        <v>2694</v>
      </c>
      <c r="CC14" s="83" t="s">
        <v>2696</v>
      </c>
      <c r="CD14" s="83" t="s">
        <v>2696</v>
      </c>
      <c r="CF14" s="83" t="s">
        <v>610</v>
      </c>
      <c r="CG14" s="83" t="s">
        <v>589</v>
      </c>
      <c r="CH14" s="83" t="s">
        <v>2693</v>
      </c>
      <c r="CI14" s="83" t="s">
        <v>3992</v>
      </c>
      <c r="CJ14" s="83" t="s">
        <v>2701</v>
      </c>
      <c r="CK14" s="144">
        <v>0</v>
      </c>
      <c r="CL14"/>
    </row>
    <row r="15" spans="1:91">
      <c r="A15" s="83" t="s">
        <v>1134</v>
      </c>
      <c r="B15" s="83" t="s">
        <v>3412</v>
      </c>
      <c r="D15" s="83" t="s">
        <v>688</v>
      </c>
      <c r="E15" s="83" t="s">
        <v>1059</v>
      </c>
      <c r="F15" s="83" t="s">
        <v>3409</v>
      </c>
      <c r="G15" s="83" t="s">
        <v>1148</v>
      </c>
      <c r="H15" s="83" t="s">
        <v>1201</v>
      </c>
      <c r="I15" s="83" t="s">
        <v>1202</v>
      </c>
      <c r="J15" s="83" t="s">
        <v>1203</v>
      </c>
      <c r="K15" s="83" t="s">
        <v>565</v>
      </c>
      <c r="L15" s="83" t="s">
        <v>398</v>
      </c>
      <c r="M15" s="83" t="s">
        <v>399</v>
      </c>
      <c r="N15" s="83" t="s">
        <v>2792</v>
      </c>
      <c r="O15" s="83" t="s">
        <v>106</v>
      </c>
      <c r="P15" s="83">
        <v>9</v>
      </c>
      <c r="Q15" s="83" t="s">
        <v>106</v>
      </c>
      <c r="R15" s="83" t="s">
        <v>2799</v>
      </c>
      <c r="S15" s="83" t="s">
        <v>3413</v>
      </c>
      <c r="T15" s="83" t="s">
        <v>2703</v>
      </c>
      <c r="U15" s="83" t="s">
        <v>401</v>
      </c>
      <c r="AC15" s="83" t="s">
        <v>401</v>
      </c>
      <c r="AD15" s="83">
        <v>524000</v>
      </c>
      <c r="AF15" s="83">
        <v>0</v>
      </c>
      <c r="AJ15" s="83">
        <v>1</v>
      </c>
      <c r="AK15" s="83">
        <v>1</v>
      </c>
      <c r="AL15" s="83">
        <v>1140</v>
      </c>
      <c r="AM15" s="83" t="s">
        <v>2693</v>
      </c>
      <c r="BK15" s="83" t="s">
        <v>2694</v>
      </c>
      <c r="BL15" s="83" t="s">
        <v>2695</v>
      </c>
      <c r="BM15" s="83" t="s">
        <v>2693</v>
      </c>
      <c r="BN15" s="83" t="s">
        <v>2698</v>
      </c>
      <c r="BO15" s="83" t="s">
        <v>2697</v>
      </c>
      <c r="BP15" s="83" t="s">
        <v>2699</v>
      </c>
      <c r="BQ15" s="83" t="s">
        <v>2699</v>
      </c>
      <c r="BR15" s="83" t="s">
        <v>2693</v>
      </c>
      <c r="BS15" s="83" t="s">
        <v>2699</v>
      </c>
      <c r="BT15" s="83" t="s">
        <v>2696</v>
      </c>
      <c r="BU15" s="83" t="s">
        <v>2699</v>
      </c>
      <c r="BV15" s="83" t="s">
        <v>2697</v>
      </c>
      <c r="BW15" s="83" t="s">
        <v>2698</v>
      </c>
      <c r="BX15" s="83" t="s">
        <v>2696</v>
      </c>
      <c r="BY15" s="83" t="s">
        <v>2699</v>
      </c>
      <c r="BZ15" s="83" t="s">
        <v>2699</v>
      </c>
      <c r="CA15" s="83" t="s">
        <v>2693</v>
      </c>
      <c r="CB15" s="83" t="s">
        <v>2694</v>
      </c>
      <c r="CC15" s="83" t="s">
        <v>2696</v>
      </c>
      <c r="CD15" s="83" t="s">
        <v>2696</v>
      </c>
      <c r="CF15" s="83" t="s">
        <v>1060</v>
      </c>
      <c r="CG15" s="83" t="s">
        <v>1061</v>
      </c>
      <c r="CH15" s="83" t="s">
        <v>2697</v>
      </c>
      <c r="CI15" s="83">
        <v>4</v>
      </c>
      <c r="CJ15" s="83" t="s">
        <v>2757</v>
      </c>
      <c r="CK15" s="144">
        <v>0</v>
      </c>
      <c r="CL15"/>
    </row>
    <row r="16" spans="1:91">
      <c r="A16" s="83" t="s">
        <v>1133</v>
      </c>
      <c r="B16" s="83" t="s">
        <v>1058</v>
      </c>
      <c r="D16" s="83" t="s">
        <v>688</v>
      </c>
      <c r="E16" s="83" t="s">
        <v>1058</v>
      </c>
      <c r="F16" s="83" t="s">
        <v>3414</v>
      </c>
      <c r="G16" s="83" t="s">
        <v>1149</v>
      </c>
      <c r="H16" s="83" t="s">
        <v>1201</v>
      </c>
      <c r="I16" s="83" t="s">
        <v>1202</v>
      </c>
      <c r="J16" s="83" t="s">
        <v>1203</v>
      </c>
      <c r="K16" s="83" t="s">
        <v>565</v>
      </c>
      <c r="L16" s="83" t="s">
        <v>398</v>
      </c>
      <c r="M16" s="83" t="s">
        <v>399</v>
      </c>
      <c r="N16" s="83" t="s">
        <v>2792</v>
      </c>
      <c r="O16" s="83" t="s">
        <v>106</v>
      </c>
      <c r="P16" s="83">
        <v>9</v>
      </c>
      <c r="Q16" s="83" t="s">
        <v>106</v>
      </c>
      <c r="R16" s="83" t="s">
        <v>2799</v>
      </c>
      <c r="S16" s="83" t="s">
        <v>2724</v>
      </c>
      <c r="T16" s="83" t="s">
        <v>2703</v>
      </c>
      <c r="U16" s="83" t="s">
        <v>401</v>
      </c>
      <c r="AC16" s="83" t="s">
        <v>401</v>
      </c>
      <c r="AD16" s="83">
        <v>493000</v>
      </c>
      <c r="AF16" s="83">
        <v>88000</v>
      </c>
      <c r="AJ16" s="83">
        <v>1</v>
      </c>
      <c r="AK16" s="83">
        <v>1</v>
      </c>
      <c r="AL16" s="83">
        <v>9372</v>
      </c>
      <c r="AM16" s="83" t="s">
        <v>2693</v>
      </c>
      <c r="BK16" s="83" t="s">
        <v>2694</v>
      </c>
      <c r="BL16" s="83" t="s">
        <v>2693</v>
      </c>
      <c r="BM16" s="83" t="s">
        <v>2698</v>
      </c>
      <c r="BN16" s="83" t="s">
        <v>2698</v>
      </c>
      <c r="BO16" s="83" t="s">
        <v>2697</v>
      </c>
      <c r="BP16" s="83" t="s">
        <v>2697</v>
      </c>
      <c r="BQ16" s="83" t="s">
        <v>2699</v>
      </c>
      <c r="BR16" s="83" t="s">
        <v>2693</v>
      </c>
      <c r="BS16" s="83" t="s">
        <v>2699</v>
      </c>
      <c r="BT16" s="83" t="s">
        <v>2696</v>
      </c>
      <c r="BU16" s="83" t="s">
        <v>2699</v>
      </c>
      <c r="BV16" s="83" t="s">
        <v>2697</v>
      </c>
      <c r="BW16" s="83" t="s">
        <v>2693</v>
      </c>
      <c r="BX16" s="83" t="s">
        <v>2696</v>
      </c>
      <c r="BY16" s="83" t="s">
        <v>2699</v>
      </c>
      <c r="BZ16" s="83" t="s">
        <v>2699</v>
      </c>
      <c r="CA16" s="83" t="s">
        <v>2693</v>
      </c>
      <c r="CB16" s="83" t="s">
        <v>2694</v>
      </c>
      <c r="CC16" s="83" t="s">
        <v>2696</v>
      </c>
      <c r="CD16" s="83" t="s">
        <v>2696</v>
      </c>
      <c r="CF16" s="83" t="s">
        <v>1018</v>
      </c>
      <c r="CG16" s="83" t="s">
        <v>602</v>
      </c>
      <c r="CH16" s="83" t="s">
        <v>2697</v>
      </c>
      <c r="CI16" s="83" t="s">
        <v>648</v>
      </c>
      <c r="CJ16" s="83" t="s">
        <v>2757</v>
      </c>
      <c r="CK16" s="144">
        <v>0</v>
      </c>
      <c r="CL16" s="99">
        <v>10000</v>
      </c>
      <c r="CM16" s="83" t="s">
        <v>4301</v>
      </c>
    </row>
    <row r="17" spans="1:91">
      <c r="A17" s="83" t="s">
        <v>2616</v>
      </c>
      <c r="B17" s="83" t="s">
        <v>2617</v>
      </c>
      <c r="D17" s="83" t="s">
        <v>688</v>
      </c>
      <c r="E17" s="83" t="s">
        <v>2618</v>
      </c>
      <c r="F17" s="83" t="s">
        <v>3353</v>
      </c>
      <c r="G17" s="83" t="s">
        <v>2338</v>
      </c>
      <c r="H17" s="83" t="s">
        <v>1201</v>
      </c>
      <c r="I17" s="83" t="s">
        <v>1202</v>
      </c>
      <c r="J17" s="83" t="s">
        <v>1203</v>
      </c>
      <c r="K17" s="83" t="s">
        <v>565</v>
      </c>
      <c r="L17" s="83" t="s">
        <v>398</v>
      </c>
      <c r="M17" s="83" t="s">
        <v>399</v>
      </c>
      <c r="N17" s="83" t="s">
        <v>2792</v>
      </c>
      <c r="O17" s="83" t="s">
        <v>106</v>
      </c>
      <c r="P17" s="83">
        <v>4</v>
      </c>
      <c r="Q17" s="83" t="s">
        <v>106</v>
      </c>
      <c r="R17" s="83" t="s">
        <v>2727</v>
      </c>
      <c r="S17" s="83" t="s">
        <v>2729</v>
      </c>
      <c r="T17" s="83" t="s">
        <v>2843</v>
      </c>
      <c r="U17" s="83" t="s">
        <v>401</v>
      </c>
      <c r="AC17" s="83" t="s">
        <v>401</v>
      </c>
      <c r="AD17" s="83">
        <v>444000</v>
      </c>
      <c r="AF17" s="83">
        <v>34000</v>
      </c>
      <c r="AJ17" s="83">
        <v>1</v>
      </c>
      <c r="AK17" s="83">
        <v>1</v>
      </c>
      <c r="AL17" s="83">
        <v>3416</v>
      </c>
      <c r="AM17" s="83" t="s">
        <v>2693</v>
      </c>
      <c r="BK17" s="83" t="s">
        <v>2694</v>
      </c>
      <c r="BL17" s="83" t="s">
        <v>2697</v>
      </c>
      <c r="BM17" s="83" t="s">
        <v>2699</v>
      </c>
      <c r="BN17" s="83" t="s">
        <v>2698</v>
      </c>
      <c r="BO17" s="83" t="s">
        <v>2697</v>
      </c>
      <c r="BP17" s="83" t="s">
        <v>2697</v>
      </c>
      <c r="BQ17" s="83" t="s">
        <v>2699</v>
      </c>
      <c r="BR17" s="83" t="s">
        <v>2699</v>
      </c>
      <c r="BS17" s="83" t="s">
        <v>2699</v>
      </c>
      <c r="BT17" s="83" t="s">
        <v>2696</v>
      </c>
      <c r="BU17" s="83" t="s">
        <v>2699</v>
      </c>
      <c r="BV17" s="83" t="s">
        <v>2696</v>
      </c>
      <c r="BW17" s="83" t="s">
        <v>2698</v>
      </c>
      <c r="BX17" s="83" t="s">
        <v>2696</v>
      </c>
      <c r="BY17" s="83" t="s">
        <v>2699</v>
      </c>
      <c r="BZ17" s="83" t="s">
        <v>2693</v>
      </c>
      <c r="CA17" s="83" t="s">
        <v>2693</v>
      </c>
      <c r="CB17" s="83" t="s">
        <v>2694</v>
      </c>
      <c r="CC17" s="83" t="s">
        <v>2699</v>
      </c>
      <c r="CD17" s="83" t="s">
        <v>2696</v>
      </c>
      <c r="CF17" s="83" t="s">
        <v>1018</v>
      </c>
      <c r="CG17" s="83" t="s">
        <v>3354</v>
      </c>
      <c r="CH17" s="83" t="s">
        <v>2693</v>
      </c>
      <c r="CI17" s="83" t="s">
        <v>3992</v>
      </c>
      <c r="CJ17" s="83" t="s">
        <v>2701</v>
      </c>
      <c r="CK17" s="144">
        <v>0</v>
      </c>
      <c r="CL17"/>
    </row>
    <row r="18" spans="1:91">
      <c r="A18" s="83" t="s">
        <v>2484</v>
      </c>
      <c r="B18" s="83" t="s">
        <v>715</v>
      </c>
      <c r="D18" s="83" t="s">
        <v>688</v>
      </c>
      <c r="E18" s="83" t="s">
        <v>2485</v>
      </c>
      <c r="F18" s="83" t="s">
        <v>1297</v>
      </c>
      <c r="G18" s="83" t="s">
        <v>2267</v>
      </c>
      <c r="H18" s="83" t="s">
        <v>1201</v>
      </c>
      <c r="I18" s="83" t="s">
        <v>1202</v>
      </c>
      <c r="J18" s="83" t="s">
        <v>1203</v>
      </c>
      <c r="K18" s="83" t="s">
        <v>565</v>
      </c>
      <c r="L18" s="83" t="s">
        <v>398</v>
      </c>
      <c r="M18" s="83" t="s">
        <v>399</v>
      </c>
      <c r="N18" s="83" t="s">
        <v>2690</v>
      </c>
      <c r="O18" s="83" t="s">
        <v>106</v>
      </c>
      <c r="P18" s="83">
        <v>4</v>
      </c>
      <c r="Q18" s="83" t="s">
        <v>106</v>
      </c>
      <c r="R18" s="83" t="s">
        <v>2730</v>
      </c>
      <c r="S18" s="83" t="s">
        <v>2729</v>
      </c>
      <c r="T18" s="83" t="s">
        <v>2843</v>
      </c>
      <c r="U18" s="83" t="s">
        <v>401</v>
      </c>
      <c r="AC18" s="83" t="s">
        <v>401</v>
      </c>
      <c r="AD18" s="83">
        <v>2114000</v>
      </c>
      <c r="AF18" s="83">
        <v>216000</v>
      </c>
      <c r="AJ18" s="83">
        <v>1</v>
      </c>
      <c r="AK18" s="83">
        <v>1</v>
      </c>
      <c r="AL18" s="83">
        <v>20861</v>
      </c>
      <c r="AM18" s="83" t="s">
        <v>2693</v>
      </c>
      <c r="BK18" s="83" t="s">
        <v>2694</v>
      </c>
      <c r="BL18" s="83" t="s">
        <v>2697</v>
      </c>
      <c r="BM18" s="83" t="s">
        <v>2699</v>
      </c>
      <c r="BN18" s="83" t="s">
        <v>2698</v>
      </c>
      <c r="BO18" s="83" t="s">
        <v>2697</v>
      </c>
      <c r="BP18" s="83" t="s">
        <v>2698</v>
      </c>
      <c r="BQ18" s="83" t="s">
        <v>2699</v>
      </c>
      <c r="BR18" s="83" t="s">
        <v>2699</v>
      </c>
      <c r="BS18" s="83" t="s">
        <v>2699</v>
      </c>
      <c r="BT18" s="83" t="s">
        <v>2696</v>
      </c>
      <c r="BU18" s="83" t="s">
        <v>2699</v>
      </c>
      <c r="BV18" s="83" t="s">
        <v>2696</v>
      </c>
      <c r="BW18" s="83" t="s">
        <v>2698</v>
      </c>
      <c r="BX18" s="83" t="s">
        <v>2696</v>
      </c>
      <c r="BY18" s="83" t="s">
        <v>2699</v>
      </c>
      <c r="BZ18" s="83" t="s">
        <v>2693</v>
      </c>
      <c r="CA18" s="83" t="s">
        <v>2693</v>
      </c>
      <c r="CB18" s="83" t="s">
        <v>2694</v>
      </c>
      <c r="CC18" s="83" t="s">
        <v>2699</v>
      </c>
      <c r="CD18" s="83" t="s">
        <v>2696</v>
      </c>
      <c r="CF18" s="83" t="s">
        <v>604</v>
      </c>
      <c r="CG18" s="83" t="s">
        <v>2869</v>
      </c>
      <c r="CH18" s="83" t="s">
        <v>2693</v>
      </c>
      <c r="CI18" s="83" t="s">
        <v>3992</v>
      </c>
      <c r="CJ18" s="83" t="s">
        <v>2701</v>
      </c>
      <c r="CK18" s="144">
        <v>0</v>
      </c>
      <c r="CL18" s="99">
        <v>32000</v>
      </c>
      <c r="CM18" s="83" t="s">
        <v>4303</v>
      </c>
    </row>
    <row r="19" spans="1:91">
      <c r="A19" s="83" t="s">
        <v>652</v>
      </c>
      <c r="B19" s="83" t="s">
        <v>545</v>
      </c>
      <c r="D19" s="83" t="s">
        <v>688</v>
      </c>
      <c r="E19" s="83" t="s">
        <v>545</v>
      </c>
      <c r="F19" s="83" t="s">
        <v>3385</v>
      </c>
      <c r="G19" s="83" t="s">
        <v>1184</v>
      </c>
      <c r="H19" s="83" t="s">
        <v>566</v>
      </c>
      <c r="I19" s="83" t="s">
        <v>567</v>
      </c>
      <c r="J19" s="83" t="s">
        <v>564</v>
      </c>
      <c r="K19" s="83" t="s">
        <v>565</v>
      </c>
      <c r="L19" s="83" t="s">
        <v>398</v>
      </c>
      <c r="M19" s="83" t="s">
        <v>399</v>
      </c>
      <c r="N19" s="83" t="s">
        <v>2690</v>
      </c>
      <c r="O19" s="83" t="s">
        <v>106</v>
      </c>
      <c r="P19" s="83">
        <v>8</v>
      </c>
      <c r="Q19" s="83" t="s">
        <v>106</v>
      </c>
      <c r="R19" s="83" t="s">
        <v>2767</v>
      </c>
      <c r="S19" s="83" t="s">
        <v>2714</v>
      </c>
      <c r="T19" s="83" t="s">
        <v>2703</v>
      </c>
      <c r="U19" s="83" t="s">
        <v>401</v>
      </c>
      <c r="AC19" s="83" t="s">
        <v>401</v>
      </c>
      <c r="AD19" s="83">
        <v>208000</v>
      </c>
      <c r="AF19" s="83">
        <v>38000</v>
      </c>
      <c r="AJ19" s="83">
        <v>1</v>
      </c>
      <c r="AK19" s="83">
        <v>1</v>
      </c>
      <c r="AL19" s="83">
        <v>2750</v>
      </c>
      <c r="AM19" s="83" t="s">
        <v>2693</v>
      </c>
      <c r="BK19" s="83" t="s">
        <v>2694</v>
      </c>
      <c r="BL19" s="83" t="s">
        <v>2704</v>
      </c>
      <c r="BM19" s="83" t="s">
        <v>2725</v>
      </c>
      <c r="BN19" s="83" t="s">
        <v>2698</v>
      </c>
      <c r="BO19" s="83" t="s">
        <v>2697</v>
      </c>
      <c r="BP19" s="83" t="s">
        <v>2697</v>
      </c>
      <c r="BQ19" s="83" t="s">
        <v>2699</v>
      </c>
      <c r="BR19" s="83" t="s">
        <v>2693</v>
      </c>
      <c r="BS19" s="83" t="s">
        <v>2699</v>
      </c>
      <c r="BT19" s="83" t="s">
        <v>2696</v>
      </c>
      <c r="BU19" s="83" t="s">
        <v>2699</v>
      </c>
      <c r="BV19" s="83" t="s">
        <v>2699</v>
      </c>
      <c r="BW19" s="83" t="s">
        <v>2698</v>
      </c>
      <c r="BX19" s="83" t="s">
        <v>2696</v>
      </c>
      <c r="BY19" s="83" t="s">
        <v>2699</v>
      </c>
      <c r="BZ19" s="83" t="s">
        <v>2699</v>
      </c>
      <c r="CA19" s="83" t="s">
        <v>2693</v>
      </c>
      <c r="CB19" s="83" t="s">
        <v>2694</v>
      </c>
      <c r="CC19" s="83" t="s">
        <v>2699</v>
      </c>
      <c r="CD19" s="83" t="s">
        <v>2696</v>
      </c>
      <c r="CF19" s="83" t="s">
        <v>599</v>
      </c>
      <c r="CG19" s="83" t="s">
        <v>600</v>
      </c>
      <c r="CH19" s="83" t="s">
        <v>2695</v>
      </c>
      <c r="CI19" s="83" t="s">
        <v>648</v>
      </c>
      <c r="CJ19" s="83" t="s">
        <v>2780</v>
      </c>
      <c r="CK19" s="144">
        <v>0</v>
      </c>
      <c r="CL19"/>
    </row>
    <row r="20" spans="1:91">
      <c r="A20" s="83" t="s">
        <v>1522</v>
      </c>
      <c r="B20" s="83" t="s">
        <v>1609</v>
      </c>
      <c r="D20" s="83" t="s">
        <v>688</v>
      </c>
      <c r="E20" s="83" t="s">
        <v>1667</v>
      </c>
      <c r="F20" s="83" t="s">
        <v>1682</v>
      </c>
      <c r="G20" s="83" t="s">
        <v>1806</v>
      </c>
      <c r="H20" s="83" t="s">
        <v>1201</v>
      </c>
      <c r="I20" s="83" t="s">
        <v>1202</v>
      </c>
      <c r="J20" s="83" t="s">
        <v>1203</v>
      </c>
      <c r="K20" s="83" t="s">
        <v>565</v>
      </c>
      <c r="L20" s="83" t="s">
        <v>398</v>
      </c>
      <c r="M20" s="83" t="s">
        <v>399</v>
      </c>
      <c r="N20" s="83" t="s">
        <v>2709</v>
      </c>
      <c r="O20" s="83" t="s">
        <v>106</v>
      </c>
      <c r="P20" s="83">
        <v>1</v>
      </c>
      <c r="Q20" s="83" t="s">
        <v>106</v>
      </c>
      <c r="R20" s="83" t="s">
        <v>2694</v>
      </c>
      <c r="S20" s="83" t="s">
        <v>2720</v>
      </c>
      <c r="T20" s="83" t="s">
        <v>2703</v>
      </c>
      <c r="U20" s="83" t="s">
        <v>401</v>
      </c>
      <c r="AC20" s="83" t="s">
        <v>401</v>
      </c>
      <c r="AD20" s="83">
        <v>159000</v>
      </c>
      <c r="AF20" s="83">
        <v>0</v>
      </c>
      <c r="AJ20" s="83">
        <v>1</v>
      </c>
      <c r="AK20" s="83">
        <v>1</v>
      </c>
      <c r="AL20" s="83">
        <v>1568</v>
      </c>
      <c r="AM20" s="83" t="s">
        <v>2693</v>
      </c>
      <c r="BK20" s="83" t="s">
        <v>2694</v>
      </c>
      <c r="BL20" s="83" t="s">
        <v>2695</v>
      </c>
      <c r="BM20" s="83" t="s">
        <v>2699</v>
      </c>
      <c r="BN20" s="83" t="s">
        <v>2696</v>
      </c>
      <c r="BO20" s="83" t="s">
        <v>2697</v>
      </c>
      <c r="BP20" s="83" t="s">
        <v>2698</v>
      </c>
      <c r="BQ20" s="83" t="s">
        <v>2696</v>
      </c>
      <c r="BR20" s="83" t="s">
        <v>2699</v>
      </c>
      <c r="BS20" s="83" t="s">
        <v>2699</v>
      </c>
      <c r="BT20" s="83" t="s">
        <v>2696</v>
      </c>
      <c r="BU20" s="83" t="s">
        <v>2699</v>
      </c>
      <c r="BV20" s="83" t="s">
        <v>2696</v>
      </c>
      <c r="BW20" s="83" t="s">
        <v>2697</v>
      </c>
      <c r="BX20" s="83" t="s">
        <v>2696</v>
      </c>
      <c r="BY20" s="83" t="s">
        <v>2699</v>
      </c>
      <c r="BZ20" s="83" t="s">
        <v>2693</v>
      </c>
      <c r="CA20" s="83" t="s">
        <v>2693</v>
      </c>
      <c r="CB20" s="83">
        <v>3</v>
      </c>
      <c r="CC20" s="83" t="s">
        <v>2696</v>
      </c>
      <c r="CD20" s="83" t="s">
        <v>2696</v>
      </c>
      <c r="CF20" s="83" t="s">
        <v>1913</v>
      </c>
      <c r="CG20" s="83" t="s">
        <v>1914</v>
      </c>
      <c r="CH20" s="83" t="s">
        <v>2699</v>
      </c>
      <c r="CI20" s="79">
        <v>1</v>
      </c>
      <c r="CJ20" s="83" t="s">
        <v>2734</v>
      </c>
      <c r="CK20" s="144">
        <v>0</v>
      </c>
      <c r="CL20"/>
    </row>
    <row r="21" spans="1:91">
      <c r="A21" s="83" t="s">
        <v>2578</v>
      </c>
      <c r="B21" s="83" t="s">
        <v>2580</v>
      </c>
      <c r="D21" s="83" t="s">
        <v>688</v>
      </c>
      <c r="E21" s="83" t="s">
        <v>2579</v>
      </c>
      <c r="F21" s="83" t="s">
        <v>3075</v>
      </c>
      <c r="G21" s="83" t="s">
        <v>2297</v>
      </c>
      <c r="H21" s="83" t="s">
        <v>1201</v>
      </c>
      <c r="I21" s="83" t="s">
        <v>1202</v>
      </c>
      <c r="J21" s="83" t="s">
        <v>1203</v>
      </c>
      <c r="K21" s="83" t="s">
        <v>565</v>
      </c>
      <c r="L21" s="83" t="s">
        <v>398</v>
      </c>
      <c r="M21" s="83" t="s">
        <v>399</v>
      </c>
      <c r="N21" s="83" t="s">
        <v>2711</v>
      </c>
      <c r="O21" s="83" t="s">
        <v>106</v>
      </c>
      <c r="P21" s="83">
        <v>4</v>
      </c>
      <c r="Q21" s="83" t="s">
        <v>106</v>
      </c>
      <c r="R21" s="83" t="s">
        <v>2730</v>
      </c>
      <c r="S21" s="83" t="s">
        <v>1464</v>
      </c>
      <c r="T21" s="83" t="s">
        <v>2843</v>
      </c>
      <c r="U21" s="83" t="s">
        <v>401</v>
      </c>
      <c r="AC21" s="83" t="s">
        <v>401</v>
      </c>
      <c r="AD21" s="83">
        <v>632000</v>
      </c>
      <c r="AF21" s="83">
        <v>0</v>
      </c>
      <c r="AJ21" s="83">
        <v>1</v>
      </c>
      <c r="AK21" s="83">
        <v>1</v>
      </c>
      <c r="AL21" s="83">
        <v>5704</v>
      </c>
      <c r="AM21" s="83" t="s">
        <v>2693</v>
      </c>
      <c r="BK21" s="83" t="s">
        <v>2694</v>
      </c>
      <c r="BL21" s="83" t="s">
        <v>2704</v>
      </c>
      <c r="BM21" s="83" t="s">
        <v>2698</v>
      </c>
      <c r="BN21" s="83" t="s">
        <v>2698</v>
      </c>
      <c r="BO21" s="83" t="s">
        <v>2697</v>
      </c>
      <c r="BP21" s="83" t="s">
        <v>2698</v>
      </c>
      <c r="BQ21" s="83" t="s">
        <v>2699</v>
      </c>
      <c r="BR21" s="83" t="s">
        <v>2693</v>
      </c>
      <c r="BS21" s="83" t="s">
        <v>2699</v>
      </c>
      <c r="BT21" s="83" t="s">
        <v>2696</v>
      </c>
      <c r="BU21" s="83" t="s">
        <v>2699</v>
      </c>
      <c r="BV21" s="83" t="s">
        <v>2696</v>
      </c>
      <c r="BW21" s="83" t="s">
        <v>2698</v>
      </c>
      <c r="BX21" s="83" t="s">
        <v>2696</v>
      </c>
      <c r="BY21" s="83" t="s">
        <v>2699</v>
      </c>
      <c r="BZ21" s="83" t="s">
        <v>2693</v>
      </c>
      <c r="CA21" s="83" t="s">
        <v>2693</v>
      </c>
      <c r="CB21" s="83" t="s">
        <v>2694</v>
      </c>
      <c r="CC21" s="83" t="s">
        <v>2699</v>
      </c>
      <c r="CD21" s="83" t="s">
        <v>2696</v>
      </c>
      <c r="CF21" s="83" t="s">
        <v>3076</v>
      </c>
      <c r="CG21" s="83" t="s">
        <v>3077</v>
      </c>
      <c r="CH21" s="83" t="s">
        <v>2693</v>
      </c>
      <c r="CI21" s="83" t="s">
        <v>3992</v>
      </c>
      <c r="CJ21" s="83" t="s">
        <v>2701</v>
      </c>
      <c r="CL21"/>
    </row>
    <row r="22" spans="1:91">
      <c r="A22" s="83" t="s">
        <v>2564</v>
      </c>
      <c r="B22" s="83" t="s">
        <v>738</v>
      </c>
      <c r="D22" s="83" t="s">
        <v>688</v>
      </c>
      <c r="E22" s="83" t="s">
        <v>2565</v>
      </c>
      <c r="F22" s="83" t="s">
        <v>3044</v>
      </c>
      <c r="G22" s="83" t="s">
        <v>2294</v>
      </c>
      <c r="H22" s="83" t="s">
        <v>1201</v>
      </c>
      <c r="I22" s="83" t="s">
        <v>1202</v>
      </c>
      <c r="J22" s="83" t="s">
        <v>1203</v>
      </c>
      <c r="K22" s="83" t="s">
        <v>565</v>
      </c>
      <c r="L22" s="83" t="s">
        <v>398</v>
      </c>
      <c r="M22" s="83" t="s">
        <v>399</v>
      </c>
      <c r="N22" s="83" t="s">
        <v>3001</v>
      </c>
      <c r="O22" s="83" t="s">
        <v>106</v>
      </c>
      <c r="P22" s="83">
        <v>1</v>
      </c>
      <c r="Q22" s="83" t="s">
        <v>106</v>
      </c>
      <c r="R22" s="83" t="s">
        <v>2767</v>
      </c>
      <c r="S22" s="83" t="s">
        <v>2904</v>
      </c>
      <c r="T22" s="83" t="s">
        <v>2843</v>
      </c>
      <c r="U22" s="83" t="s">
        <v>401</v>
      </c>
      <c r="AC22" s="83" t="s">
        <v>401</v>
      </c>
      <c r="AD22" s="83">
        <v>178000</v>
      </c>
      <c r="AF22" s="83">
        <v>17000</v>
      </c>
      <c r="AJ22" s="83">
        <v>1</v>
      </c>
      <c r="AK22" s="83">
        <v>1</v>
      </c>
      <c r="AL22" s="83">
        <v>1736</v>
      </c>
      <c r="AM22" s="83" t="s">
        <v>2693</v>
      </c>
      <c r="BK22" s="83" t="s">
        <v>2694</v>
      </c>
      <c r="BL22" s="83" t="s">
        <v>2704</v>
      </c>
      <c r="BM22" s="83" t="s">
        <v>2698</v>
      </c>
      <c r="BN22" s="83" t="s">
        <v>2696</v>
      </c>
      <c r="BO22" s="83" t="s">
        <v>2697</v>
      </c>
      <c r="BP22" s="83" t="s">
        <v>2698</v>
      </c>
      <c r="BQ22" s="83" t="s">
        <v>2699</v>
      </c>
      <c r="BR22" s="83" t="s">
        <v>2693</v>
      </c>
      <c r="BS22" s="83" t="s">
        <v>2699</v>
      </c>
      <c r="BT22" s="83" t="s">
        <v>2696</v>
      </c>
      <c r="BU22" s="83" t="s">
        <v>2699</v>
      </c>
      <c r="BV22" s="83" t="s">
        <v>2696</v>
      </c>
      <c r="BW22" s="83" t="s">
        <v>2697</v>
      </c>
      <c r="BX22" s="83" t="s">
        <v>2696</v>
      </c>
      <c r="BY22" s="83" t="s">
        <v>2699</v>
      </c>
      <c r="BZ22" s="83" t="s">
        <v>2693</v>
      </c>
      <c r="CA22" s="83" t="s">
        <v>2693</v>
      </c>
      <c r="CB22" s="83" t="s">
        <v>2694</v>
      </c>
      <c r="CC22" s="83" t="s">
        <v>2699</v>
      </c>
      <c r="CD22" s="83" t="s">
        <v>2696</v>
      </c>
      <c r="CF22" s="83" t="s">
        <v>3045</v>
      </c>
      <c r="CG22" s="83" t="s">
        <v>3046</v>
      </c>
      <c r="CH22" s="83" t="s">
        <v>2699</v>
      </c>
      <c r="CI22" s="83">
        <v>1</v>
      </c>
      <c r="CJ22" s="83" t="s">
        <v>2734</v>
      </c>
      <c r="CK22" s="144">
        <v>3</v>
      </c>
      <c r="CL22" s="99">
        <v>26000</v>
      </c>
      <c r="CM22" s="83" t="s">
        <v>4304</v>
      </c>
    </row>
    <row r="23" spans="1:91">
      <c r="A23" s="83" t="s">
        <v>2564</v>
      </c>
      <c r="B23" s="83" t="s">
        <v>738</v>
      </c>
      <c r="D23" s="83" t="s">
        <v>673</v>
      </c>
      <c r="E23" s="83" t="s">
        <v>2566</v>
      </c>
      <c r="F23" s="83" t="s">
        <v>3044</v>
      </c>
      <c r="G23" s="83" t="s">
        <v>2294</v>
      </c>
      <c r="H23" s="83" t="s">
        <v>1201</v>
      </c>
      <c r="I23" s="83" t="s">
        <v>1202</v>
      </c>
      <c r="J23" s="83" t="s">
        <v>1203</v>
      </c>
      <c r="K23" s="83" t="s">
        <v>565</v>
      </c>
      <c r="L23" s="83" t="s">
        <v>398</v>
      </c>
      <c r="M23" s="83" t="s">
        <v>399</v>
      </c>
      <c r="N23" s="83" t="s">
        <v>3001</v>
      </c>
      <c r="O23" s="83" t="s">
        <v>106</v>
      </c>
      <c r="P23" s="83">
        <v>1</v>
      </c>
      <c r="Q23" s="83" t="s">
        <v>106</v>
      </c>
      <c r="R23" s="83" t="s">
        <v>2767</v>
      </c>
      <c r="S23" s="83" t="s">
        <v>2928</v>
      </c>
      <c r="T23" s="83" t="s">
        <v>2843</v>
      </c>
      <c r="U23" s="83" t="s">
        <v>401</v>
      </c>
      <c r="AC23" s="83" t="s">
        <v>401</v>
      </c>
      <c r="AD23" s="83">
        <v>95000</v>
      </c>
      <c r="AF23" s="83">
        <v>8000</v>
      </c>
      <c r="AJ23" s="83">
        <v>1</v>
      </c>
      <c r="AK23" s="83">
        <v>1</v>
      </c>
      <c r="AL23" s="83">
        <v>880</v>
      </c>
      <c r="AM23" s="83" t="s">
        <v>2693</v>
      </c>
      <c r="BK23" s="83" t="s">
        <v>2694</v>
      </c>
      <c r="BL23" s="83" t="s">
        <v>2704</v>
      </c>
      <c r="BM23" s="83" t="s">
        <v>2698</v>
      </c>
      <c r="BN23" s="83" t="s">
        <v>2696</v>
      </c>
      <c r="BO23" s="83" t="s">
        <v>2697</v>
      </c>
      <c r="BP23" s="83" t="s">
        <v>2698</v>
      </c>
      <c r="BQ23" s="83" t="s">
        <v>2699</v>
      </c>
      <c r="BR23" s="83" t="s">
        <v>2693</v>
      </c>
      <c r="BS23" s="83" t="s">
        <v>2699</v>
      </c>
      <c r="BT23" s="83" t="s">
        <v>2696</v>
      </c>
      <c r="BU23" s="83" t="s">
        <v>2699</v>
      </c>
      <c r="BV23" s="83" t="s">
        <v>2696</v>
      </c>
      <c r="BW23" s="83" t="s">
        <v>2697</v>
      </c>
      <c r="BX23" s="83" t="s">
        <v>2696</v>
      </c>
      <c r="BY23" s="83" t="s">
        <v>2699</v>
      </c>
      <c r="BZ23" s="83" t="s">
        <v>2693</v>
      </c>
      <c r="CA23" s="83" t="s">
        <v>2693</v>
      </c>
      <c r="CB23" s="83" t="s">
        <v>2694</v>
      </c>
      <c r="CC23" s="83" t="s">
        <v>2699</v>
      </c>
      <c r="CD23" s="83" t="s">
        <v>2696</v>
      </c>
      <c r="CF23" s="83" t="s">
        <v>3047</v>
      </c>
      <c r="CG23" s="83" t="s">
        <v>623</v>
      </c>
      <c r="CH23" s="83" t="s">
        <v>2699</v>
      </c>
      <c r="CI23" s="83">
        <v>1</v>
      </c>
      <c r="CJ23" s="83" t="s">
        <v>2734</v>
      </c>
      <c r="CK23" s="144">
        <v>4</v>
      </c>
      <c r="CL23"/>
    </row>
    <row r="24" spans="1:91">
      <c r="A24" s="83" t="s">
        <v>1127</v>
      </c>
      <c r="B24" s="83" t="s">
        <v>2366</v>
      </c>
      <c r="D24" s="83" t="s">
        <v>688</v>
      </c>
      <c r="E24" s="83" t="s">
        <v>2366</v>
      </c>
      <c r="F24" s="83" t="s">
        <v>3415</v>
      </c>
      <c r="G24" s="83" t="s">
        <v>1150</v>
      </c>
      <c r="H24" s="83" t="s">
        <v>1201</v>
      </c>
      <c r="I24" s="83" t="s">
        <v>1202</v>
      </c>
      <c r="J24" s="83" t="s">
        <v>1203</v>
      </c>
      <c r="K24" s="83" t="s">
        <v>565</v>
      </c>
      <c r="L24" s="83" t="s">
        <v>398</v>
      </c>
      <c r="M24" s="83" t="s">
        <v>399</v>
      </c>
      <c r="N24" s="83" t="s">
        <v>2832</v>
      </c>
      <c r="O24" s="83" t="s">
        <v>106</v>
      </c>
      <c r="P24" s="83">
        <v>4</v>
      </c>
      <c r="Q24" s="83" t="s">
        <v>106</v>
      </c>
      <c r="R24" s="83" t="s">
        <v>2691</v>
      </c>
      <c r="S24" s="83" t="s">
        <v>1451</v>
      </c>
      <c r="T24" s="83" t="s">
        <v>2703</v>
      </c>
      <c r="U24" s="83" t="s">
        <v>401</v>
      </c>
      <c r="AC24" s="83" t="s">
        <v>401</v>
      </c>
      <c r="AD24" s="83">
        <v>692000</v>
      </c>
      <c r="AF24" s="83">
        <v>26000</v>
      </c>
      <c r="AJ24" s="83">
        <v>1</v>
      </c>
      <c r="AK24" s="83">
        <v>1</v>
      </c>
      <c r="AL24" s="83">
        <v>5293</v>
      </c>
      <c r="AM24" s="83" t="s">
        <v>2693</v>
      </c>
      <c r="BK24" s="83" t="s">
        <v>2694</v>
      </c>
      <c r="BL24" s="83" t="s">
        <v>2698</v>
      </c>
      <c r="BM24" s="83" t="s">
        <v>2695</v>
      </c>
      <c r="BN24" s="83" t="s">
        <v>2698</v>
      </c>
      <c r="BO24" s="83" t="s">
        <v>2697</v>
      </c>
      <c r="BP24" s="83" t="s">
        <v>2695</v>
      </c>
      <c r="BQ24" s="83" t="s">
        <v>2699</v>
      </c>
      <c r="BR24" s="83" t="s">
        <v>2693</v>
      </c>
      <c r="BS24" s="83" t="s">
        <v>2699</v>
      </c>
      <c r="BT24" s="83" t="s">
        <v>2696</v>
      </c>
      <c r="BU24" s="83" t="s">
        <v>2699</v>
      </c>
      <c r="BV24" s="83" t="s">
        <v>2697</v>
      </c>
      <c r="BW24" s="83" t="s">
        <v>2698</v>
      </c>
      <c r="BX24" s="83" t="s">
        <v>2696</v>
      </c>
      <c r="BY24" s="83" t="s">
        <v>2699</v>
      </c>
      <c r="BZ24" s="83" t="s">
        <v>2699</v>
      </c>
      <c r="CA24" s="83" t="s">
        <v>2693</v>
      </c>
      <c r="CB24" s="83" t="s">
        <v>2694</v>
      </c>
      <c r="CC24" s="83" t="s">
        <v>2699</v>
      </c>
      <c r="CD24" s="83" t="s">
        <v>2696</v>
      </c>
      <c r="CF24" s="83" t="s">
        <v>1010</v>
      </c>
      <c r="CG24" s="83" t="s">
        <v>1011</v>
      </c>
      <c r="CH24" s="83" t="s">
        <v>2693</v>
      </c>
      <c r="CI24" s="83" t="s">
        <v>3992</v>
      </c>
      <c r="CJ24" s="83" t="s">
        <v>2701</v>
      </c>
      <c r="CK24" s="144">
        <v>0</v>
      </c>
      <c r="CL24" s="99">
        <v>30000</v>
      </c>
      <c r="CM24" s="83" t="s">
        <v>4305</v>
      </c>
    </row>
    <row r="25" spans="1:91">
      <c r="A25" s="83" t="s">
        <v>1127</v>
      </c>
      <c r="B25" s="83" t="s">
        <v>2366</v>
      </c>
      <c r="D25" s="83" t="s">
        <v>673</v>
      </c>
      <c r="E25" s="83" t="s">
        <v>894</v>
      </c>
      <c r="F25" s="83" t="s">
        <v>3415</v>
      </c>
      <c r="G25" s="83" t="s">
        <v>1150</v>
      </c>
      <c r="H25" s="83" t="s">
        <v>1201</v>
      </c>
      <c r="I25" s="83" t="s">
        <v>1202</v>
      </c>
      <c r="J25" s="83" t="s">
        <v>1203</v>
      </c>
      <c r="K25" s="83" t="s">
        <v>565</v>
      </c>
      <c r="L25" s="83" t="s">
        <v>398</v>
      </c>
      <c r="M25" s="83" t="s">
        <v>399</v>
      </c>
      <c r="N25" s="83" t="s">
        <v>2832</v>
      </c>
      <c r="O25" s="83" t="s">
        <v>106</v>
      </c>
      <c r="P25" s="83">
        <v>4</v>
      </c>
      <c r="Q25" s="83" t="s">
        <v>106</v>
      </c>
      <c r="R25" s="83" t="s">
        <v>2691</v>
      </c>
      <c r="S25" s="83" t="s">
        <v>1451</v>
      </c>
      <c r="T25" s="83" t="s">
        <v>2703</v>
      </c>
      <c r="U25" s="83" t="s">
        <v>401</v>
      </c>
      <c r="AC25" s="83" t="s">
        <v>401</v>
      </c>
      <c r="AD25" s="83">
        <v>9000</v>
      </c>
      <c r="AF25" s="83">
        <v>2000</v>
      </c>
      <c r="AJ25" s="83">
        <v>1</v>
      </c>
      <c r="AK25" s="83">
        <v>1</v>
      </c>
      <c r="AL25" s="83">
        <v>121</v>
      </c>
      <c r="AM25" s="83" t="s">
        <v>2693</v>
      </c>
      <c r="BK25" s="83" t="s">
        <v>2694</v>
      </c>
      <c r="BL25" s="83" t="s">
        <v>2698</v>
      </c>
      <c r="BM25" s="83" t="s">
        <v>2697</v>
      </c>
      <c r="BN25" s="83" t="s">
        <v>2698</v>
      </c>
      <c r="BO25" s="83" t="s">
        <v>2697</v>
      </c>
      <c r="BP25" s="83" t="s">
        <v>2695</v>
      </c>
      <c r="BQ25" s="83" t="s">
        <v>2699</v>
      </c>
      <c r="BR25" s="83" t="s">
        <v>2693</v>
      </c>
      <c r="BS25" s="83" t="s">
        <v>2699</v>
      </c>
      <c r="BT25" s="83" t="s">
        <v>2696</v>
      </c>
      <c r="BU25" s="83" t="s">
        <v>2699</v>
      </c>
      <c r="BV25" s="83" t="s">
        <v>2697</v>
      </c>
      <c r="BW25" s="83" t="s">
        <v>2698</v>
      </c>
      <c r="BX25" s="83" t="s">
        <v>2696</v>
      </c>
      <c r="BY25" s="83" t="s">
        <v>2699</v>
      </c>
      <c r="BZ25" s="83" t="s">
        <v>2699</v>
      </c>
      <c r="CA25" s="83" t="s">
        <v>2693</v>
      </c>
      <c r="CB25" s="83" t="s">
        <v>2694</v>
      </c>
      <c r="CC25" s="83" t="s">
        <v>2696</v>
      </c>
      <c r="CD25" s="83" t="s">
        <v>2696</v>
      </c>
      <c r="CF25" s="83" t="s">
        <v>895</v>
      </c>
      <c r="CG25" s="83" t="s">
        <v>896</v>
      </c>
      <c r="CH25" s="83" t="s">
        <v>2693</v>
      </c>
      <c r="CI25" s="83" t="s">
        <v>3992</v>
      </c>
      <c r="CJ25" s="83" t="s">
        <v>2701</v>
      </c>
      <c r="CK25" s="144">
        <v>0</v>
      </c>
      <c r="CL25"/>
    </row>
    <row r="26" spans="1:91">
      <c r="A26" s="83" t="s">
        <v>1523</v>
      </c>
      <c r="B26" s="83" t="s">
        <v>3725</v>
      </c>
      <c r="D26" s="83" t="s">
        <v>688</v>
      </c>
      <c r="E26" s="83" t="s">
        <v>1012</v>
      </c>
      <c r="F26" s="83" t="s">
        <v>1683</v>
      </c>
      <c r="G26" s="83" t="s">
        <v>1807</v>
      </c>
      <c r="H26" s="83" t="s">
        <v>1201</v>
      </c>
      <c r="I26" s="83" t="s">
        <v>1202</v>
      </c>
      <c r="J26" s="83" t="s">
        <v>1203</v>
      </c>
      <c r="K26" s="83" t="s">
        <v>565</v>
      </c>
      <c r="L26" s="83" t="s">
        <v>398</v>
      </c>
      <c r="M26" s="83" t="s">
        <v>399</v>
      </c>
      <c r="N26" s="83" t="s">
        <v>2743</v>
      </c>
      <c r="O26" s="83" t="s">
        <v>106</v>
      </c>
      <c r="P26" s="83">
        <v>4</v>
      </c>
      <c r="Q26" s="83" t="s">
        <v>106</v>
      </c>
      <c r="R26" s="83" t="s">
        <v>2694</v>
      </c>
      <c r="S26" s="83" t="s">
        <v>2797</v>
      </c>
      <c r="T26" s="83" t="s">
        <v>2703</v>
      </c>
      <c r="U26" s="83" t="s">
        <v>401</v>
      </c>
      <c r="AC26" s="83" t="s">
        <v>401</v>
      </c>
      <c r="AD26" s="83">
        <v>508000</v>
      </c>
      <c r="AF26" s="83">
        <v>0</v>
      </c>
      <c r="AJ26" s="83">
        <v>1</v>
      </c>
      <c r="AK26" s="83">
        <v>1</v>
      </c>
      <c r="AL26" s="83">
        <v>6210</v>
      </c>
      <c r="AM26" s="83" t="s">
        <v>2693</v>
      </c>
      <c r="BK26" s="83" t="s">
        <v>2694</v>
      </c>
      <c r="BL26" s="83" t="s">
        <v>2704</v>
      </c>
      <c r="BM26" s="83" t="s">
        <v>2725</v>
      </c>
      <c r="BN26" s="83" t="s">
        <v>2696</v>
      </c>
      <c r="BO26" s="83" t="s">
        <v>2697</v>
      </c>
      <c r="BP26" s="83" t="s">
        <v>2698</v>
      </c>
      <c r="BQ26" s="83" t="s">
        <v>2699</v>
      </c>
      <c r="BR26" s="83" t="s">
        <v>2693</v>
      </c>
      <c r="BS26" s="83" t="s">
        <v>2699</v>
      </c>
      <c r="BT26" s="83" t="s">
        <v>2696</v>
      </c>
      <c r="BU26" s="83" t="s">
        <v>2699</v>
      </c>
      <c r="BV26" s="83" t="s">
        <v>2696</v>
      </c>
      <c r="BW26" s="83" t="s">
        <v>2695</v>
      </c>
      <c r="BX26" s="83" t="s">
        <v>2696</v>
      </c>
      <c r="BY26" s="83" t="s">
        <v>2699</v>
      </c>
      <c r="BZ26" s="83" t="s">
        <v>2693</v>
      </c>
      <c r="CA26" s="83">
        <v>1</v>
      </c>
      <c r="CB26" s="83">
        <v>3</v>
      </c>
      <c r="CC26" s="83" t="s">
        <v>2694</v>
      </c>
      <c r="CD26" s="83" t="s">
        <v>2696</v>
      </c>
      <c r="CF26" s="83" t="s">
        <v>1912</v>
      </c>
      <c r="CG26" s="83" t="s">
        <v>3726</v>
      </c>
      <c r="CH26" s="83" t="s">
        <v>2693</v>
      </c>
      <c r="CI26" s="83" t="s">
        <v>1395</v>
      </c>
      <c r="CJ26" s="83" t="s">
        <v>2701</v>
      </c>
      <c r="CK26" s="144">
        <v>0</v>
      </c>
      <c r="CL26"/>
    </row>
    <row r="27" spans="1:91">
      <c r="A27" s="83" t="s">
        <v>1502</v>
      </c>
      <c r="B27" s="83" t="s">
        <v>1610</v>
      </c>
      <c r="D27" s="83" t="s">
        <v>688</v>
      </c>
      <c r="E27" s="83" t="s">
        <v>1012</v>
      </c>
      <c r="F27" s="83" t="s">
        <v>1684</v>
      </c>
      <c r="G27" s="83" t="s">
        <v>1808</v>
      </c>
      <c r="H27" s="83" t="s">
        <v>1201</v>
      </c>
      <c r="I27" s="83" t="s">
        <v>1202</v>
      </c>
      <c r="J27" s="83" t="s">
        <v>1203</v>
      </c>
      <c r="K27" s="83" t="s">
        <v>565</v>
      </c>
      <c r="L27" s="83" t="s">
        <v>398</v>
      </c>
      <c r="M27" s="83" t="s">
        <v>399</v>
      </c>
      <c r="N27" s="83" t="s">
        <v>2690</v>
      </c>
      <c r="O27" s="83" t="s">
        <v>106</v>
      </c>
      <c r="P27" s="83">
        <v>5</v>
      </c>
      <c r="Q27" s="83" t="s">
        <v>106</v>
      </c>
      <c r="R27" s="83" t="s">
        <v>2691</v>
      </c>
      <c r="S27" s="83" t="s">
        <v>2720</v>
      </c>
      <c r="T27" s="83" t="s">
        <v>2703</v>
      </c>
      <c r="U27" s="83" t="s">
        <v>401</v>
      </c>
      <c r="AC27" s="83" t="s">
        <v>401</v>
      </c>
      <c r="AD27" s="83">
        <v>369000</v>
      </c>
      <c r="AF27" s="83">
        <v>0</v>
      </c>
      <c r="AJ27" s="83">
        <v>1</v>
      </c>
      <c r="AK27" s="83">
        <v>1</v>
      </c>
      <c r="AL27" s="83">
        <v>3140</v>
      </c>
      <c r="AM27" s="83" t="s">
        <v>2693</v>
      </c>
      <c r="BK27" s="83" t="s">
        <v>2694</v>
      </c>
      <c r="BL27" s="83" t="s">
        <v>2695</v>
      </c>
      <c r="BM27" s="83" t="s">
        <v>2693</v>
      </c>
      <c r="BN27" s="83" t="s">
        <v>2698</v>
      </c>
      <c r="BO27" s="83" t="s">
        <v>2697</v>
      </c>
      <c r="BP27" s="83" t="s">
        <v>2693</v>
      </c>
      <c r="BQ27" s="83" t="s">
        <v>2699</v>
      </c>
      <c r="BR27" s="83" t="s">
        <v>2693</v>
      </c>
      <c r="BS27" s="83" t="s">
        <v>2699</v>
      </c>
      <c r="BT27" s="83" t="s">
        <v>2696</v>
      </c>
      <c r="BU27" s="83" t="s">
        <v>2699</v>
      </c>
      <c r="BV27" s="83" t="s">
        <v>2696</v>
      </c>
      <c r="BW27" s="83" t="s">
        <v>2696</v>
      </c>
      <c r="BX27" s="83" t="s">
        <v>2696</v>
      </c>
      <c r="BY27" s="83" t="s">
        <v>2699</v>
      </c>
      <c r="BZ27" s="83" t="s">
        <v>2693</v>
      </c>
      <c r="CA27" s="83" t="s">
        <v>2693</v>
      </c>
      <c r="CB27" s="83">
        <v>3</v>
      </c>
      <c r="CC27" s="83" t="s">
        <v>2696</v>
      </c>
      <c r="CD27" s="83" t="s">
        <v>2699</v>
      </c>
      <c r="CF27" s="83" t="s">
        <v>1915</v>
      </c>
      <c r="CG27" s="83" t="s">
        <v>897</v>
      </c>
      <c r="CH27" s="83" t="s">
        <v>2725</v>
      </c>
      <c r="CI27" s="83" t="s">
        <v>1358</v>
      </c>
      <c r="CJ27" s="83" t="s">
        <v>2726</v>
      </c>
      <c r="CK27" s="144">
        <v>0</v>
      </c>
      <c r="CL27" s="99">
        <v>16000</v>
      </c>
      <c r="CM27" s="83" t="s">
        <v>4306</v>
      </c>
    </row>
    <row r="28" spans="1:91">
      <c r="A28" s="83" t="s">
        <v>1502</v>
      </c>
      <c r="B28" s="83" t="s">
        <v>1610</v>
      </c>
      <c r="D28" s="83" t="s">
        <v>673</v>
      </c>
      <c r="E28" s="83" t="s">
        <v>2423</v>
      </c>
      <c r="F28" s="83" t="s">
        <v>1684</v>
      </c>
      <c r="G28" s="83" t="s">
        <v>1808</v>
      </c>
      <c r="H28" s="83" t="s">
        <v>1201</v>
      </c>
      <c r="I28" s="83" t="s">
        <v>1202</v>
      </c>
      <c r="J28" s="83" t="s">
        <v>1203</v>
      </c>
      <c r="K28" s="83" t="s">
        <v>565</v>
      </c>
      <c r="L28" s="83" t="s">
        <v>398</v>
      </c>
      <c r="M28" s="83" t="s">
        <v>399</v>
      </c>
      <c r="N28" s="83" t="s">
        <v>2690</v>
      </c>
      <c r="O28" s="83" t="s">
        <v>106</v>
      </c>
      <c r="P28" s="83">
        <v>4</v>
      </c>
      <c r="Q28" s="83" t="s">
        <v>106</v>
      </c>
      <c r="R28" s="83" t="s">
        <v>2730</v>
      </c>
      <c r="S28" s="83" t="s">
        <v>2720</v>
      </c>
      <c r="T28" s="83" t="s">
        <v>2703</v>
      </c>
      <c r="U28" s="83" t="s">
        <v>401</v>
      </c>
      <c r="AC28" s="83" t="s">
        <v>401</v>
      </c>
      <c r="AD28" s="83">
        <v>30000</v>
      </c>
      <c r="AF28" s="83">
        <v>0</v>
      </c>
      <c r="AJ28" s="83">
        <v>1</v>
      </c>
      <c r="AK28" s="83">
        <v>1</v>
      </c>
      <c r="AL28" s="83">
        <v>576</v>
      </c>
      <c r="AM28" s="83" t="s">
        <v>2693</v>
      </c>
      <c r="BK28" s="83" t="s">
        <v>2696</v>
      </c>
      <c r="BL28" s="83" t="s">
        <v>2704</v>
      </c>
      <c r="BM28" s="83" t="s">
        <v>2698</v>
      </c>
      <c r="BN28" s="83" t="s">
        <v>2696</v>
      </c>
      <c r="BO28" s="83" t="s">
        <v>2697</v>
      </c>
      <c r="BP28" s="83" t="s">
        <v>2698</v>
      </c>
      <c r="BQ28" s="83" t="s">
        <v>2696</v>
      </c>
      <c r="BR28" s="83" t="s">
        <v>2693</v>
      </c>
      <c r="BS28" s="83" t="s">
        <v>2699</v>
      </c>
      <c r="BT28" s="83" t="s">
        <v>2696</v>
      </c>
      <c r="BU28" s="83" t="s">
        <v>2699</v>
      </c>
      <c r="BV28" s="83" t="s">
        <v>2696</v>
      </c>
      <c r="BW28" s="83" t="s">
        <v>2695</v>
      </c>
      <c r="BX28" s="83" t="s">
        <v>2696</v>
      </c>
      <c r="BY28" s="83" t="s">
        <v>2699</v>
      </c>
      <c r="BZ28" s="83" t="s">
        <v>2699</v>
      </c>
      <c r="CA28" s="83" t="s">
        <v>2699</v>
      </c>
      <c r="CB28" s="83">
        <v>9</v>
      </c>
      <c r="CC28" s="83" t="s">
        <v>2693</v>
      </c>
      <c r="CD28" s="83" t="s">
        <v>2696</v>
      </c>
      <c r="CF28" s="83" t="s">
        <v>1916</v>
      </c>
      <c r="CG28" s="83" t="s">
        <v>1917</v>
      </c>
      <c r="CH28" s="83" t="s">
        <v>2693</v>
      </c>
      <c r="CI28" s="83" t="s">
        <v>1395</v>
      </c>
      <c r="CJ28" s="83" t="s">
        <v>2701</v>
      </c>
      <c r="CK28" s="144">
        <v>0</v>
      </c>
      <c r="CL28"/>
    </row>
    <row r="29" spans="1:91">
      <c r="A29" s="83" t="s">
        <v>2506</v>
      </c>
      <c r="B29" s="83" t="s">
        <v>2507</v>
      </c>
      <c r="D29" s="83" t="s">
        <v>688</v>
      </c>
      <c r="E29" s="83" t="s">
        <v>2508</v>
      </c>
      <c r="F29" s="83" t="s">
        <v>2931</v>
      </c>
      <c r="G29" s="83" t="s">
        <v>2275</v>
      </c>
      <c r="H29" s="83" t="s">
        <v>1201</v>
      </c>
      <c r="I29" s="83" t="s">
        <v>1202</v>
      </c>
      <c r="J29" s="83" t="s">
        <v>1203</v>
      </c>
      <c r="K29" s="83" t="s">
        <v>565</v>
      </c>
      <c r="L29" s="83" t="s">
        <v>398</v>
      </c>
      <c r="M29" s="83" t="s">
        <v>399</v>
      </c>
      <c r="N29" s="83" t="s">
        <v>2899</v>
      </c>
      <c r="O29" s="83" t="s">
        <v>106</v>
      </c>
      <c r="P29" s="83">
        <v>4</v>
      </c>
      <c r="Q29" s="83" t="s">
        <v>106</v>
      </c>
      <c r="R29" s="83" t="s">
        <v>2691</v>
      </c>
      <c r="S29" s="83" t="s">
        <v>2932</v>
      </c>
      <c r="T29" s="83" t="s">
        <v>2843</v>
      </c>
      <c r="U29" s="83" t="s">
        <v>401</v>
      </c>
      <c r="AC29" s="83" t="s">
        <v>401</v>
      </c>
      <c r="AD29" s="83">
        <v>422000</v>
      </c>
      <c r="AF29" s="83">
        <v>22000</v>
      </c>
      <c r="AJ29" s="83">
        <v>1</v>
      </c>
      <c r="AK29" s="83">
        <v>1</v>
      </c>
      <c r="AL29" s="83">
        <v>2210</v>
      </c>
      <c r="AM29" s="83" t="s">
        <v>2693</v>
      </c>
      <c r="BK29" s="83" t="s">
        <v>2694</v>
      </c>
      <c r="BL29" s="83" t="s">
        <v>2697</v>
      </c>
      <c r="BM29" s="83" t="s">
        <v>2699</v>
      </c>
      <c r="BN29" s="83" t="s">
        <v>2698</v>
      </c>
      <c r="BO29" s="83" t="s">
        <v>2695</v>
      </c>
      <c r="BP29" s="83" t="s">
        <v>2698</v>
      </c>
      <c r="BQ29" s="83" t="s">
        <v>2699</v>
      </c>
      <c r="BR29" s="83" t="s">
        <v>2699</v>
      </c>
      <c r="BS29" s="83" t="s">
        <v>2699</v>
      </c>
      <c r="BT29" s="83" t="s">
        <v>2696</v>
      </c>
      <c r="BU29" s="83" t="s">
        <v>2699</v>
      </c>
      <c r="BV29" s="83" t="s">
        <v>2693</v>
      </c>
      <c r="BW29" s="83" t="s">
        <v>2698</v>
      </c>
      <c r="BX29" s="83" t="s">
        <v>2696</v>
      </c>
      <c r="BY29" s="83" t="s">
        <v>2699</v>
      </c>
      <c r="BZ29" s="83" t="s">
        <v>2693</v>
      </c>
      <c r="CA29" s="83" t="s">
        <v>2693</v>
      </c>
      <c r="CB29" s="83" t="s">
        <v>2694</v>
      </c>
      <c r="CC29" s="83" t="s">
        <v>2699</v>
      </c>
      <c r="CD29" s="83" t="s">
        <v>2696</v>
      </c>
      <c r="CF29" s="83" t="s">
        <v>2933</v>
      </c>
      <c r="CG29" s="83" t="s">
        <v>2934</v>
      </c>
      <c r="CH29" s="83" t="s">
        <v>2693</v>
      </c>
      <c r="CI29" s="83" t="s">
        <v>3992</v>
      </c>
      <c r="CJ29" s="83" t="s">
        <v>2701</v>
      </c>
      <c r="CK29" s="144">
        <v>0</v>
      </c>
      <c r="CL29"/>
    </row>
    <row r="30" spans="1:91">
      <c r="A30" s="83" t="s">
        <v>1484</v>
      </c>
      <c r="B30" s="83" t="s">
        <v>1611</v>
      </c>
      <c r="D30" s="83" t="s">
        <v>688</v>
      </c>
      <c r="E30" s="83" t="s">
        <v>1611</v>
      </c>
      <c r="F30" s="83" t="s">
        <v>1685</v>
      </c>
      <c r="G30" s="83" t="s">
        <v>1809</v>
      </c>
      <c r="H30" s="83" t="s">
        <v>1201</v>
      </c>
      <c r="I30" s="83" t="s">
        <v>1202</v>
      </c>
      <c r="J30" s="83" t="s">
        <v>1203</v>
      </c>
      <c r="K30" s="83" t="s">
        <v>565</v>
      </c>
      <c r="L30" s="83" t="s">
        <v>398</v>
      </c>
      <c r="M30" s="83" t="s">
        <v>399</v>
      </c>
      <c r="N30" s="83" t="s">
        <v>2705</v>
      </c>
      <c r="O30" s="83" t="s">
        <v>106</v>
      </c>
      <c r="P30" s="83">
        <v>8</v>
      </c>
      <c r="Q30" s="83" t="s">
        <v>106</v>
      </c>
      <c r="R30" s="83" t="s">
        <v>2691</v>
      </c>
      <c r="S30" s="83" t="s">
        <v>2720</v>
      </c>
      <c r="T30" s="83" t="s">
        <v>2746</v>
      </c>
      <c r="U30" s="83" t="s">
        <v>401</v>
      </c>
      <c r="AC30" s="83" t="s">
        <v>401</v>
      </c>
      <c r="AD30" s="83">
        <v>576000</v>
      </c>
      <c r="AF30" s="83">
        <v>58000</v>
      </c>
      <c r="AJ30" s="83">
        <v>1</v>
      </c>
      <c r="AK30" s="83">
        <v>1</v>
      </c>
      <c r="AL30" s="83">
        <v>5845</v>
      </c>
      <c r="AM30" s="83" t="s">
        <v>2693</v>
      </c>
      <c r="BK30" s="83" t="s">
        <v>2694</v>
      </c>
      <c r="BL30" s="83" t="s">
        <v>2695</v>
      </c>
      <c r="BM30" s="83" t="s">
        <v>2693</v>
      </c>
      <c r="BN30" s="83" t="s">
        <v>2698</v>
      </c>
      <c r="BO30" s="83" t="s">
        <v>2697</v>
      </c>
      <c r="BP30" s="83" t="s">
        <v>2697</v>
      </c>
      <c r="BQ30" s="83" t="s">
        <v>2699</v>
      </c>
      <c r="BR30" s="83" t="s">
        <v>2693</v>
      </c>
      <c r="BS30" s="83" t="s">
        <v>2699</v>
      </c>
      <c r="BT30" s="83" t="s">
        <v>2696</v>
      </c>
      <c r="BU30" s="83" t="s">
        <v>2699</v>
      </c>
      <c r="BV30" s="83" t="s">
        <v>2696</v>
      </c>
      <c r="BW30" s="83" t="s">
        <v>2699</v>
      </c>
      <c r="BX30" s="83" t="s">
        <v>2696</v>
      </c>
      <c r="BY30" s="83" t="s">
        <v>2699</v>
      </c>
      <c r="BZ30" s="83" t="s">
        <v>2693</v>
      </c>
      <c r="CA30" s="83" t="s">
        <v>2693</v>
      </c>
      <c r="CB30" s="83">
        <v>3</v>
      </c>
      <c r="CC30" s="83" t="s">
        <v>2699</v>
      </c>
      <c r="CD30" s="83" t="s">
        <v>2696</v>
      </c>
      <c r="CF30" s="83" t="s">
        <v>1910</v>
      </c>
      <c r="CG30" s="83" t="s">
        <v>1918</v>
      </c>
      <c r="CH30" s="83" t="s">
        <v>2695</v>
      </c>
      <c r="CI30" s="83" t="s">
        <v>648</v>
      </c>
      <c r="CJ30" s="83" t="s">
        <v>2726</v>
      </c>
      <c r="CK30" s="144">
        <v>0</v>
      </c>
      <c r="CL30"/>
    </row>
    <row r="31" spans="1:91">
      <c r="A31" s="83" t="s">
        <v>1511</v>
      </c>
      <c r="B31" s="83" t="s">
        <v>752</v>
      </c>
      <c r="D31" s="83" t="s">
        <v>688</v>
      </c>
      <c r="E31" s="83" t="s">
        <v>2728</v>
      </c>
      <c r="F31" s="83" t="s">
        <v>1686</v>
      </c>
      <c r="G31" s="83" t="s">
        <v>1810</v>
      </c>
      <c r="H31" s="83" t="s">
        <v>1201</v>
      </c>
      <c r="I31" s="83" t="s">
        <v>1202</v>
      </c>
      <c r="J31" s="83" t="s">
        <v>1203</v>
      </c>
      <c r="K31" s="83" t="s">
        <v>565</v>
      </c>
      <c r="L31" s="83" t="s">
        <v>398</v>
      </c>
      <c r="M31" s="83" t="s">
        <v>399</v>
      </c>
      <c r="N31" s="83" t="s">
        <v>2719</v>
      </c>
      <c r="O31" s="83" t="s">
        <v>106</v>
      </c>
      <c r="P31" s="83">
        <v>8</v>
      </c>
      <c r="Q31" s="83" t="s">
        <v>106</v>
      </c>
      <c r="R31" s="83" t="s">
        <v>2691</v>
      </c>
      <c r="S31" s="83" t="s">
        <v>1444</v>
      </c>
      <c r="T31" s="83" t="s">
        <v>1444</v>
      </c>
      <c r="U31" s="83" t="s">
        <v>401</v>
      </c>
      <c r="AC31" s="83" t="s">
        <v>401</v>
      </c>
      <c r="AD31" s="83">
        <v>586000</v>
      </c>
      <c r="AF31" s="83">
        <v>0</v>
      </c>
      <c r="AJ31" s="83">
        <v>1</v>
      </c>
      <c r="AK31" s="83">
        <v>1</v>
      </c>
      <c r="AL31" s="83">
        <v>6400</v>
      </c>
      <c r="AM31" s="83" t="s">
        <v>2693</v>
      </c>
      <c r="BK31" s="83" t="s">
        <v>2694</v>
      </c>
      <c r="BL31" s="83" t="s">
        <v>2704</v>
      </c>
      <c r="BM31" s="83" t="s">
        <v>2697</v>
      </c>
      <c r="BN31" s="83" t="s">
        <v>2698</v>
      </c>
      <c r="BO31" s="83" t="s">
        <v>2693</v>
      </c>
      <c r="BP31" s="83" t="s">
        <v>2695</v>
      </c>
      <c r="BQ31" s="83" t="s">
        <v>2699</v>
      </c>
      <c r="BR31" s="83" t="s">
        <v>2693</v>
      </c>
      <c r="BS31" s="83" t="s">
        <v>2699</v>
      </c>
      <c r="BT31" s="83" t="s">
        <v>2696</v>
      </c>
      <c r="BU31" s="83" t="s">
        <v>2699</v>
      </c>
      <c r="BV31" s="83" t="s">
        <v>2696</v>
      </c>
      <c r="BW31" s="83" t="s">
        <v>2695</v>
      </c>
      <c r="BX31" s="83" t="s">
        <v>2696</v>
      </c>
      <c r="BY31" s="83" t="s">
        <v>2699</v>
      </c>
      <c r="BZ31" s="83" t="s">
        <v>2693</v>
      </c>
      <c r="CA31" s="83" t="s">
        <v>2693</v>
      </c>
      <c r="CB31" s="83">
        <v>8</v>
      </c>
      <c r="CC31" s="83" t="s">
        <v>2699</v>
      </c>
      <c r="CD31" s="83" t="s">
        <v>2696</v>
      </c>
      <c r="CF31" s="83" t="s">
        <v>1919</v>
      </c>
      <c r="CG31" s="83" t="s">
        <v>1920</v>
      </c>
      <c r="CH31" s="83" t="s">
        <v>2695</v>
      </c>
      <c r="CI31" s="83" t="s">
        <v>648</v>
      </c>
      <c r="CJ31" s="83" t="s">
        <v>2726</v>
      </c>
      <c r="CK31" s="144">
        <v>0</v>
      </c>
      <c r="CL31" s="99">
        <v>2000</v>
      </c>
      <c r="CM31" s="83" t="s">
        <v>4307</v>
      </c>
    </row>
    <row r="32" spans="1:91">
      <c r="A32" s="83" t="s">
        <v>1496</v>
      </c>
      <c r="B32" s="83" t="s">
        <v>1519</v>
      </c>
      <c r="D32" s="83" t="s">
        <v>688</v>
      </c>
      <c r="E32" s="83" t="s">
        <v>1519</v>
      </c>
      <c r="F32" s="83" t="s">
        <v>1687</v>
      </c>
      <c r="G32" s="83" t="s">
        <v>1811</v>
      </c>
      <c r="H32" s="83" t="s">
        <v>1201</v>
      </c>
      <c r="I32" s="83" t="s">
        <v>1202</v>
      </c>
      <c r="J32" s="83" t="s">
        <v>1203</v>
      </c>
      <c r="K32" s="83" t="s">
        <v>565</v>
      </c>
      <c r="L32" s="83" t="s">
        <v>398</v>
      </c>
      <c r="M32" s="83" t="s">
        <v>399</v>
      </c>
      <c r="N32" s="83" t="s">
        <v>2735</v>
      </c>
      <c r="O32" s="83" t="s">
        <v>106</v>
      </c>
      <c r="P32" s="83">
        <v>8</v>
      </c>
      <c r="Q32" s="83" t="s">
        <v>106</v>
      </c>
      <c r="R32" s="83" t="s">
        <v>2691</v>
      </c>
      <c r="S32" s="83" t="s">
        <v>2760</v>
      </c>
      <c r="T32" s="83" t="s">
        <v>2703</v>
      </c>
      <c r="U32" s="83" t="s">
        <v>401</v>
      </c>
      <c r="AC32" s="83" t="s">
        <v>401</v>
      </c>
      <c r="AD32" s="83">
        <v>1151000</v>
      </c>
      <c r="AF32" s="83">
        <v>92000</v>
      </c>
      <c r="AJ32" s="83">
        <v>1</v>
      </c>
      <c r="AK32" s="83">
        <v>1</v>
      </c>
      <c r="AL32" s="83">
        <v>9258</v>
      </c>
      <c r="AM32" s="83" t="s">
        <v>2693</v>
      </c>
      <c r="BK32" s="83" t="s">
        <v>2694</v>
      </c>
      <c r="BL32" s="83" t="s">
        <v>2704</v>
      </c>
      <c r="BM32" s="83" t="s">
        <v>2698</v>
      </c>
      <c r="BN32" s="83" t="s">
        <v>2698</v>
      </c>
      <c r="BO32" s="83" t="s">
        <v>2693</v>
      </c>
      <c r="BP32" s="83" t="s">
        <v>2695</v>
      </c>
      <c r="BQ32" s="83" t="s">
        <v>2699</v>
      </c>
      <c r="BR32" s="83" t="s">
        <v>2693</v>
      </c>
      <c r="BS32" s="83" t="s">
        <v>2699</v>
      </c>
      <c r="BT32" s="83" t="s">
        <v>2696</v>
      </c>
      <c r="BU32" s="83" t="s">
        <v>2699</v>
      </c>
      <c r="BV32" s="83" t="s">
        <v>2696</v>
      </c>
      <c r="BW32" s="83" t="s">
        <v>2695</v>
      </c>
      <c r="BX32" s="83" t="s">
        <v>2696</v>
      </c>
      <c r="BY32" s="83" t="s">
        <v>2699</v>
      </c>
      <c r="BZ32" s="83" t="s">
        <v>2693</v>
      </c>
      <c r="CA32" s="83" t="s">
        <v>2693</v>
      </c>
      <c r="CB32" s="83">
        <v>1</v>
      </c>
      <c r="CC32" s="83" t="s">
        <v>2696</v>
      </c>
      <c r="CD32" s="83" t="s">
        <v>2696</v>
      </c>
      <c r="CF32" s="83" t="s">
        <v>1921</v>
      </c>
      <c r="CG32" s="83" t="s">
        <v>1922</v>
      </c>
      <c r="CH32" s="83" t="s">
        <v>2695</v>
      </c>
      <c r="CI32" s="83" t="s">
        <v>648</v>
      </c>
      <c r="CJ32" s="83" t="s">
        <v>2726</v>
      </c>
      <c r="CK32" s="144">
        <v>0</v>
      </c>
      <c r="CL32" s="99">
        <v>301000</v>
      </c>
    </row>
    <row r="33" spans="1:90">
      <c r="A33" s="83" t="s">
        <v>1496</v>
      </c>
      <c r="B33" s="83" t="s">
        <v>1519</v>
      </c>
      <c r="D33" s="83" t="s">
        <v>673</v>
      </c>
      <c r="E33" s="83" t="s">
        <v>894</v>
      </c>
      <c r="F33" s="83">
        <v>6710</v>
      </c>
      <c r="G33" s="83" t="s">
        <v>1811</v>
      </c>
      <c r="H33" s="83" t="s">
        <v>1201</v>
      </c>
      <c r="I33" s="83" t="s">
        <v>1202</v>
      </c>
      <c r="J33" s="83" t="s">
        <v>1203</v>
      </c>
      <c r="K33" s="83" t="s">
        <v>565</v>
      </c>
      <c r="L33" s="83" t="s">
        <v>398</v>
      </c>
      <c r="M33" s="83" t="s">
        <v>399</v>
      </c>
      <c r="N33" s="83" t="s">
        <v>2735</v>
      </c>
      <c r="O33" s="83" t="s">
        <v>106</v>
      </c>
      <c r="P33" s="83">
        <v>4</v>
      </c>
      <c r="Q33" s="83" t="s">
        <v>106</v>
      </c>
      <c r="R33" s="83" t="s">
        <v>2691</v>
      </c>
      <c r="S33" s="87">
        <v>29951</v>
      </c>
      <c r="T33" s="83" t="s">
        <v>2703</v>
      </c>
      <c r="U33" s="83" t="s">
        <v>401</v>
      </c>
      <c r="AC33" s="83" t="s">
        <v>401</v>
      </c>
      <c r="AD33" s="83">
        <v>66000</v>
      </c>
      <c r="AF33" s="83">
        <v>1000</v>
      </c>
      <c r="AJ33" s="83">
        <v>1</v>
      </c>
      <c r="AK33" s="83">
        <v>1</v>
      </c>
      <c r="AL33" s="83">
        <v>373</v>
      </c>
      <c r="AM33" s="83" t="s">
        <v>2693</v>
      </c>
      <c r="BK33" s="83">
        <v>9</v>
      </c>
      <c r="BL33" s="83">
        <v>7</v>
      </c>
      <c r="BM33" s="83">
        <v>5</v>
      </c>
      <c r="BN33" s="83">
        <v>5</v>
      </c>
      <c r="BO33" s="83">
        <v>2</v>
      </c>
      <c r="BP33" s="83">
        <v>5</v>
      </c>
      <c r="BQ33" s="83">
        <v>1</v>
      </c>
      <c r="BR33" s="83">
        <v>2</v>
      </c>
      <c r="BS33" s="83">
        <v>1</v>
      </c>
      <c r="BT33" s="83">
        <v>0</v>
      </c>
      <c r="BU33" s="83">
        <v>1</v>
      </c>
      <c r="BV33" s="79">
        <v>0</v>
      </c>
      <c r="BW33" s="83">
        <v>2</v>
      </c>
      <c r="BX33" s="83">
        <v>0</v>
      </c>
      <c r="BY33" s="83">
        <v>1</v>
      </c>
      <c r="BZ33" s="83">
        <v>0</v>
      </c>
      <c r="CA33" s="83">
        <v>1</v>
      </c>
      <c r="CB33" s="83">
        <v>9</v>
      </c>
      <c r="CC33" s="83">
        <v>2</v>
      </c>
      <c r="CD33" s="83">
        <v>0</v>
      </c>
      <c r="CF33" s="83" t="s">
        <v>3986</v>
      </c>
      <c r="CG33" s="83" t="s">
        <v>3987</v>
      </c>
      <c r="CH33" s="83">
        <v>2</v>
      </c>
      <c r="CI33" s="83" t="s">
        <v>3992</v>
      </c>
      <c r="CJ33" s="83" t="s">
        <v>2701</v>
      </c>
      <c r="CL33"/>
    </row>
    <row r="34" spans="1:90">
      <c r="A34" s="83" t="s">
        <v>1524</v>
      </c>
      <c r="B34" s="83" t="s">
        <v>3727</v>
      </c>
      <c r="D34" s="83" t="s">
        <v>688</v>
      </c>
      <c r="E34" s="83" t="s">
        <v>1012</v>
      </c>
      <c r="F34" s="83" t="s">
        <v>1688</v>
      </c>
      <c r="G34" s="83" t="s">
        <v>1812</v>
      </c>
      <c r="H34" s="83" t="s">
        <v>1201</v>
      </c>
      <c r="I34" s="83" t="s">
        <v>1202</v>
      </c>
      <c r="J34" s="83" t="s">
        <v>1203</v>
      </c>
      <c r="K34" s="83" t="s">
        <v>565</v>
      </c>
      <c r="L34" s="83" t="s">
        <v>398</v>
      </c>
      <c r="M34" s="83" t="s">
        <v>399</v>
      </c>
      <c r="N34" s="83" t="s">
        <v>2744</v>
      </c>
      <c r="O34" s="83" t="s">
        <v>106</v>
      </c>
      <c r="P34" s="83">
        <v>8</v>
      </c>
      <c r="Q34" s="83" t="s">
        <v>106</v>
      </c>
      <c r="R34" s="83" t="s">
        <v>2691</v>
      </c>
      <c r="S34" s="83" t="s">
        <v>2779</v>
      </c>
      <c r="T34" s="83" t="s">
        <v>2779</v>
      </c>
      <c r="U34" s="83" t="s">
        <v>401</v>
      </c>
      <c r="AC34" s="83" t="s">
        <v>401</v>
      </c>
      <c r="AD34" s="83">
        <v>996000</v>
      </c>
      <c r="AF34" s="83">
        <v>42000</v>
      </c>
      <c r="AJ34" s="83">
        <v>1</v>
      </c>
      <c r="AK34" s="83">
        <v>1</v>
      </c>
      <c r="AL34" s="83">
        <v>8445</v>
      </c>
      <c r="AM34" s="83" t="s">
        <v>2693</v>
      </c>
      <c r="BK34" s="83" t="s">
        <v>2694</v>
      </c>
      <c r="BL34" s="83" t="s">
        <v>2695</v>
      </c>
      <c r="BM34" s="83" t="s">
        <v>2725</v>
      </c>
      <c r="BN34" s="83" t="s">
        <v>2698</v>
      </c>
      <c r="BO34" s="83" t="s">
        <v>2697</v>
      </c>
      <c r="BP34" s="83" t="s">
        <v>2697</v>
      </c>
      <c r="BQ34" s="83" t="s">
        <v>2699</v>
      </c>
      <c r="BR34" s="83" t="s">
        <v>2693</v>
      </c>
      <c r="BS34" s="83" t="s">
        <v>2699</v>
      </c>
      <c r="BT34" s="83" t="s">
        <v>2696</v>
      </c>
      <c r="BU34" s="83" t="s">
        <v>2699</v>
      </c>
      <c r="BV34" s="83" t="s">
        <v>2696</v>
      </c>
      <c r="BW34" s="83" t="s">
        <v>2695</v>
      </c>
      <c r="BX34" s="83" t="s">
        <v>2696</v>
      </c>
      <c r="BY34" s="83" t="s">
        <v>2699</v>
      </c>
      <c r="BZ34" s="83" t="s">
        <v>2693</v>
      </c>
      <c r="CA34" s="83" t="s">
        <v>2693</v>
      </c>
      <c r="CB34" s="83">
        <v>8</v>
      </c>
      <c r="CC34" s="83" t="s">
        <v>2699</v>
      </c>
      <c r="CD34" s="83" t="s">
        <v>2696</v>
      </c>
      <c r="CF34" s="83" t="s">
        <v>1923</v>
      </c>
      <c r="CG34" s="83" t="s">
        <v>1924</v>
      </c>
      <c r="CH34" s="83" t="s">
        <v>2695</v>
      </c>
      <c r="CI34" s="83" t="s">
        <v>648</v>
      </c>
      <c r="CJ34" s="83" t="s">
        <v>2726</v>
      </c>
      <c r="CK34" s="144">
        <v>0</v>
      </c>
      <c r="CL34"/>
    </row>
    <row r="35" spans="1:90">
      <c r="A35" s="83" t="s">
        <v>1086</v>
      </c>
      <c r="B35" s="83" t="s">
        <v>1087</v>
      </c>
      <c r="D35" s="83" t="s">
        <v>688</v>
      </c>
      <c r="E35" s="83" t="s">
        <v>1087</v>
      </c>
      <c r="F35" s="83" t="s">
        <v>3416</v>
      </c>
      <c r="G35" s="83" t="s">
        <v>1151</v>
      </c>
      <c r="H35" s="83" t="s">
        <v>1201</v>
      </c>
      <c r="I35" s="83" t="s">
        <v>1202</v>
      </c>
      <c r="J35" s="83" t="s">
        <v>1203</v>
      </c>
      <c r="K35" s="83" t="s">
        <v>565</v>
      </c>
      <c r="L35" s="83" t="s">
        <v>398</v>
      </c>
      <c r="M35" s="83" t="s">
        <v>399</v>
      </c>
      <c r="N35" s="83" t="s">
        <v>3417</v>
      </c>
      <c r="O35" s="83" t="s">
        <v>106</v>
      </c>
      <c r="P35" s="83">
        <v>4</v>
      </c>
      <c r="Q35" s="83" t="s">
        <v>106</v>
      </c>
      <c r="R35" s="83" t="s">
        <v>2808</v>
      </c>
      <c r="S35" s="83" t="s">
        <v>2746</v>
      </c>
      <c r="T35" s="83" t="s">
        <v>2703</v>
      </c>
      <c r="U35" s="83" t="s">
        <v>401</v>
      </c>
      <c r="AC35" s="83" t="s">
        <v>401</v>
      </c>
      <c r="AD35" s="83">
        <v>604000</v>
      </c>
      <c r="AF35" s="83">
        <v>24000</v>
      </c>
      <c r="AJ35" s="83">
        <v>1</v>
      </c>
      <c r="AK35" s="83">
        <v>1</v>
      </c>
      <c r="AL35" s="83">
        <v>4847</v>
      </c>
      <c r="AM35" s="83" t="s">
        <v>2693</v>
      </c>
      <c r="BK35" s="83" t="s">
        <v>2694</v>
      </c>
      <c r="BL35" s="83" t="s">
        <v>2704</v>
      </c>
      <c r="BM35" s="83" t="s">
        <v>2695</v>
      </c>
      <c r="BN35" s="83" t="s">
        <v>2698</v>
      </c>
      <c r="BO35" s="83" t="s">
        <v>2697</v>
      </c>
      <c r="BP35" s="83" t="s">
        <v>2695</v>
      </c>
      <c r="BQ35" s="83" t="s">
        <v>2699</v>
      </c>
      <c r="BR35" s="83" t="s">
        <v>2693</v>
      </c>
      <c r="BS35" s="83" t="s">
        <v>2699</v>
      </c>
      <c r="BT35" s="83" t="s">
        <v>2696</v>
      </c>
      <c r="BU35" s="83" t="s">
        <v>2699</v>
      </c>
      <c r="BV35" s="83" t="s">
        <v>2693</v>
      </c>
      <c r="BW35" s="83" t="s">
        <v>2698</v>
      </c>
      <c r="BX35" s="83" t="s">
        <v>2696</v>
      </c>
      <c r="BY35" s="83" t="s">
        <v>2699</v>
      </c>
      <c r="BZ35" s="83" t="s">
        <v>2699</v>
      </c>
      <c r="CA35" s="83" t="s">
        <v>2693</v>
      </c>
      <c r="CB35" s="83" t="s">
        <v>2694</v>
      </c>
      <c r="CC35" s="83" t="s">
        <v>2699</v>
      </c>
      <c r="CD35" s="83" t="s">
        <v>2696</v>
      </c>
      <c r="CF35" s="83" t="s">
        <v>1088</v>
      </c>
      <c r="CG35" s="83" t="s">
        <v>1089</v>
      </c>
      <c r="CH35" s="83" t="s">
        <v>2693</v>
      </c>
      <c r="CI35" s="83" t="s">
        <v>3992</v>
      </c>
      <c r="CJ35" s="83" t="s">
        <v>2701</v>
      </c>
      <c r="CK35" s="144">
        <v>6</v>
      </c>
      <c r="CL35" s="99">
        <v>125000</v>
      </c>
    </row>
    <row r="36" spans="1:90">
      <c r="A36" s="83" t="s">
        <v>1086</v>
      </c>
      <c r="B36" s="83" t="s">
        <v>1087</v>
      </c>
      <c r="D36" s="83" t="s">
        <v>673</v>
      </c>
      <c r="E36" s="83" t="s">
        <v>1090</v>
      </c>
      <c r="F36" s="83" t="s">
        <v>3416</v>
      </c>
      <c r="G36" s="83" t="s">
        <v>1151</v>
      </c>
      <c r="H36" s="83" t="s">
        <v>1201</v>
      </c>
      <c r="I36" s="83" t="s">
        <v>1202</v>
      </c>
      <c r="J36" s="83" t="s">
        <v>1203</v>
      </c>
      <c r="K36" s="83" t="s">
        <v>565</v>
      </c>
      <c r="L36" s="83" t="s">
        <v>398</v>
      </c>
      <c r="M36" s="83" t="s">
        <v>399</v>
      </c>
      <c r="N36" s="83" t="s">
        <v>3417</v>
      </c>
      <c r="O36" s="83" t="s">
        <v>106</v>
      </c>
      <c r="P36" s="83">
        <v>4</v>
      </c>
      <c r="Q36" s="83" t="s">
        <v>106</v>
      </c>
      <c r="R36" s="83" t="s">
        <v>3418</v>
      </c>
      <c r="S36" s="83" t="s">
        <v>2746</v>
      </c>
      <c r="T36" s="83" t="s">
        <v>2703</v>
      </c>
      <c r="U36" s="83" t="s">
        <v>401</v>
      </c>
      <c r="AC36" s="83" t="s">
        <v>401</v>
      </c>
      <c r="AD36" s="83">
        <v>62000</v>
      </c>
      <c r="AF36" s="83">
        <v>3000</v>
      </c>
      <c r="AJ36" s="83">
        <v>1</v>
      </c>
      <c r="AK36" s="83">
        <v>1</v>
      </c>
      <c r="AL36" s="83">
        <v>648</v>
      </c>
      <c r="AM36" s="83" t="s">
        <v>2693</v>
      </c>
      <c r="BK36" s="83" t="s">
        <v>2694</v>
      </c>
      <c r="BL36" s="83" t="s">
        <v>2704</v>
      </c>
      <c r="BM36" s="83" t="s">
        <v>2698</v>
      </c>
      <c r="BN36" s="83" t="s">
        <v>2698</v>
      </c>
      <c r="BO36" s="83" t="s">
        <v>2697</v>
      </c>
      <c r="BP36" s="83" t="s">
        <v>2695</v>
      </c>
      <c r="BQ36" s="83" t="s">
        <v>2699</v>
      </c>
      <c r="BR36" s="83" t="s">
        <v>2693</v>
      </c>
      <c r="BS36" s="83" t="s">
        <v>2699</v>
      </c>
      <c r="BT36" s="83" t="s">
        <v>2696</v>
      </c>
      <c r="BU36" s="83" t="s">
        <v>2699</v>
      </c>
      <c r="BV36" s="83" t="s">
        <v>2697</v>
      </c>
      <c r="BW36" s="83" t="s">
        <v>2698</v>
      </c>
      <c r="BX36" s="83" t="s">
        <v>2696</v>
      </c>
      <c r="BY36" s="83" t="s">
        <v>2699</v>
      </c>
      <c r="BZ36" s="83" t="s">
        <v>2699</v>
      </c>
      <c r="CA36" s="83" t="s">
        <v>2693</v>
      </c>
      <c r="CB36" s="83" t="s">
        <v>2694</v>
      </c>
      <c r="CC36" s="83" t="s">
        <v>2696</v>
      </c>
      <c r="CD36" s="83" t="s">
        <v>2696</v>
      </c>
      <c r="CF36" s="83" t="s">
        <v>1091</v>
      </c>
      <c r="CG36" s="83" t="s">
        <v>760</v>
      </c>
      <c r="CH36" s="83" t="s">
        <v>2693</v>
      </c>
      <c r="CI36" s="83" t="s">
        <v>3992</v>
      </c>
      <c r="CJ36" s="83" t="s">
        <v>2701</v>
      </c>
      <c r="CK36" s="144">
        <v>0</v>
      </c>
      <c r="CL36"/>
    </row>
    <row r="37" spans="1:90">
      <c r="A37" s="83" t="s">
        <v>1086</v>
      </c>
      <c r="B37" s="83" t="s">
        <v>1087</v>
      </c>
      <c r="D37" s="83" t="s">
        <v>714</v>
      </c>
      <c r="E37" s="83" t="s">
        <v>1092</v>
      </c>
      <c r="F37" s="83" t="s">
        <v>3416</v>
      </c>
      <c r="G37" s="83" t="s">
        <v>1151</v>
      </c>
      <c r="H37" s="83" t="s">
        <v>1201</v>
      </c>
      <c r="I37" s="83" t="s">
        <v>1202</v>
      </c>
      <c r="J37" s="83" t="s">
        <v>1203</v>
      </c>
      <c r="K37" s="83" t="s">
        <v>565</v>
      </c>
      <c r="L37" s="83" t="s">
        <v>398</v>
      </c>
      <c r="M37" s="83" t="s">
        <v>399</v>
      </c>
      <c r="N37" s="83" t="s">
        <v>3417</v>
      </c>
      <c r="O37" s="83" t="s">
        <v>106</v>
      </c>
      <c r="P37" s="83">
        <v>4</v>
      </c>
      <c r="Q37" s="83" t="s">
        <v>106</v>
      </c>
      <c r="R37" s="83" t="s">
        <v>3419</v>
      </c>
      <c r="S37" s="83" t="s">
        <v>2746</v>
      </c>
      <c r="T37" s="83" t="s">
        <v>2703</v>
      </c>
      <c r="U37" s="83" t="s">
        <v>401</v>
      </c>
      <c r="AC37" s="83" t="s">
        <v>401</v>
      </c>
      <c r="AD37" s="83">
        <v>101000</v>
      </c>
      <c r="AF37" s="83">
        <v>6000</v>
      </c>
      <c r="AJ37" s="83">
        <v>1</v>
      </c>
      <c r="AK37" s="83">
        <v>1</v>
      </c>
      <c r="AL37" s="83">
        <v>1160</v>
      </c>
      <c r="AM37" s="83" t="s">
        <v>2693</v>
      </c>
      <c r="BK37" s="83" t="s">
        <v>2694</v>
      </c>
      <c r="BL37" s="83" t="s">
        <v>2704</v>
      </c>
      <c r="BM37" s="83" t="s">
        <v>2698</v>
      </c>
      <c r="BN37" s="83" t="s">
        <v>2698</v>
      </c>
      <c r="BO37" s="83" t="s">
        <v>2697</v>
      </c>
      <c r="BP37" s="83" t="s">
        <v>2695</v>
      </c>
      <c r="BQ37" s="83" t="s">
        <v>2699</v>
      </c>
      <c r="BR37" s="83" t="s">
        <v>2693</v>
      </c>
      <c r="BS37" s="83" t="s">
        <v>2699</v>
      </c>
      <c r="BT37" s="83" t="s">
        <v>2696</v>
      </c>
      <c r="BU37" s="83" t="s">
        <v>2699</v>
      </c>
      <c r="BV37" s="83" t="s">
        <v>2697</v>
      </c>
      <c r="BW37" s="83" t="s">
        <v>2698</v>
      </c>
      <c r="BX37" s="83" t="s">
        <v>2696</v>
      </c>
      <c r="BY37" s="83" t="s">
        <v>2699</v>
      </c>
      <c r="BZ37" s="83" t="s">
        <v>2699</v>
      </c>
      <c r="CA37" s="83" t="s">
        <v>2693</v>
      </c>
      <c r="CB37" s="83" t="s">
        <v>2694</v>
      </c>
      <c r="CC37" s="83" t="s">
        <v>2696</v>
      </c>
      <c r="CD37" s="83" t="s">
        <v>2696</v>
      </c>
      <c r="CF37" s="83" t="s">
        <v>1093</v>
      </c>
      <c r="CG37" s="83" t="s">
        <v>1094</v>
      </c>
      <c r="CH37" s="83" t="s">
        <v>2693</v>
      </c>
      <c r="CI37" s="83" t="s">
        <v>3992</v>
      </c>
      <c r="CJ37" s="83" t="s">
        <v>2701</v>
      </c>
      <c r="CK37" s="144">
        <v>0</v>
      </c>
      <c r="CL37"/>
    </row>
    <row r="38" spans="1:90">
      <c r="A38" s="83" t="s">
        <v>1525</v>
      </c>
      <c r="B38" s="83" t="s">
        <v>1612</v>
      </c>
      <c r="D38" s="83" t="s">
        <v>688</v>
      </c>
      <c r="E38" s="83" t="s">
        <v>1612</v>
      </c>
      <c r="F38" s="83" t="s">
        <v>1689</v>
      </c>
      <c r="G38" s="83" t="s">
        <v>1813</v>
      </c>
      <c r="H38" s="83" t="s">
        <v>1201</v>
      </c>
      <c r="I38" s="83" t="s">
        <v>1202</v>
      </c>
      <c r="J38" s="83" t="s">
        <v>1203</v>
      </c>
      <c r="K38" s="83" t="s">
        <v>565</v>
      </c>
      <c r="L38" s="83" t="s">
        <v>398</v>
      </c>
      <c r="M38" s="83" t="s">
        <v>399</v>
      </c>
      <c r="N38" s="83" t="s">
        <v>2778</v>
      </c>
      <c r="O38" s="83" t="s">
        <v>106</v>
      </c>
      <c r="P38" s="83">
        <v>4</v>
      </c>
      <c r="Q38" s="83" t="s">
        <v>106</v>
      </c>
      <c r="R38" s="83" t="s">
        <v>2691</v>
      </c>
      <c r="S38" s="83" t="s">
        <v>1451</v>
      </c>
      <c r="T38" s="83" t="s">
        <v>1451</v>
      </c>
      <c r="U38" s="83" t="s">
        <v>401</v>
      </c>
      <c r="AC38" s="83" t="s">
        <v>401</v>
      </c>
      <c r="AD38" s="83">
        <v>327000</v>
      </c>
      <c r="AF38" s="83">
        <v>35000</v>
      </c>
      <c r="AJ38" s="83">
        <v>1</v>
      </c>
      <c r="AK38" s="83">
        <v>1</v>
      </c>
      <c r="AL38" s="83">
        <v>3492</v>
      </c>
      <c r="AM38" s="83" t="s">
        <v>2693</v>
      </c>
      <c r="BK38" s="83" t="s">
        <v>2694</v>
      </c>
      <c r="BL38" s="83" t="s">
        <v>2704</v>
      </c>
      <c r="BM38" s="83" t="s">
        <v>2698</v>
      </c>
      <c r="BN38" s="83" t="s">
        <v>2696</v>
      </c>
      <c r="BO38" s="83" t="s">
        <v>2693</v>
      </c>
      <c r="BP38" s="83" t="s">
        <v>2698</v>
      </c>
      <c r="BQ38" s="83" t="s">
        <v>2699</v>
      </c>
      <c r="BR38" s="83" t="s">
        <v>2693</v>
      </c>
      <c r="BS38" s="83" t="s">
        <v>2699</v>
      </c>
      <c r="BT38" s="83" t="s">
        <v>2696</v>
      </c>
      <c r="BU38" s="83" t="s">
        <v>2699</v>
      </c>
      <c r="BV38" s="83" t="s">
        <v>2696</v>
      </c>
      <c r="BW38" s="83" t="s">
        <v>2696</v>
      </c>
      <c r="BX38" s="83" t="s">
        <v>2696</v>
      </c>
      <c r="BY38" s="83" t="s">
        <v>2699</v>
      </c>
      <c r="BZ38" s="83" t="s">
        <v>2693</v>
      </c>
      <c r="CA38" s="83" t="s">
        <v>2693</v>
      </c>
      <c r="CB38" s="83">
        <v>8</v>
      </c>
      <c r="CC38" s="83" t="s">
        <v>2696</v>
      </c>
      <c r="CD38" s="83" t="s">
        <v>2696</v>
      </c>
      <c r="CF38" s="83" t="s">
        <v>1925</v>
      </c>
      <c r="CG38" s="83" t="s">
        <v>1926</v>
      </c>
      <c r="CH38" s="83" t="s">
        <v>2693</v>
      </c>
      <c r="CI38" s="83" t="s">
        <v>1395</v>
      </c>
      <c r="CJ38" s="83" t="s">
        <v>2701</v>
      </c>
      <c r="CK38" s="144">
        <v>0</v>
      </c>
      <c r="CL38" s="99">
        <v>15000</v>
      </c>
    </row>
    <row r="39" spans="1:90">
      <c r="A39" s="83" t="s">
        <v>2520</v>
      </c>
      <c r="B39" s="83" t="s">
        <v>2521</v>
      </c>
      <c r="D39" s="83" t="s">
        <v>688</v>
      </c>
      <c r="E39" s="83" t="s">
        <v>2505</v>
      </c>
      <c r="F39" s="83" t="s">
        <v>2956</v>
      </c>
      <c r="G39" s="83" t="s">
        <v>2278</v>
      </c>
      <c r="H39" s="83" t="s">
        <v>1201</v>
      </c>
      <c r="I39" s="83" t="s">
        <v>1202</v>
      </c>
      <c r="J39" s="83" t="s">
        <v>1203</v>
      </c>
      <c r="K39" s="83" t="s">
        <v>565</v>
      </c>
      <c r="L39" s="83" t="s">
        <v>398</v>
      </c>
      <c r="M39" s="83" t="s">
        <v>399</v>
      </c>
      <c r="N39" s="83" t="s">
        <v>2899</v>
      </c>
      <c r="O39" s="83" t="s">
        <v>106</v>
      </c>
      <c r="P39" s="83">
        <v>5</v>
      </c>
      <c r="Q39" s="83" t="s">
        <v>106</v>
      </c>
      <c r="R39" s="83" t="s">
        <v>2727</v>
      </c>
      <c r="S39" s="83" t="s">
        <v>2779</v>
      </c>
      <c r="T39" s="83" t="s">
        <v>2843</v>
      </c>
      <c r="U39" s="83" t="s">
        <v>401</v>
      </c>
      <c r="AC39" s="83" t="s">
        <v>401</v>
      </c>
      <c r="AD39" s="83">
        <v>4770000</v>
      </c>
      <c r="AF39" s="83">
        <v>316000</v>
      </c>
      <c r="AJ39" s="83">
        <v>1</v>
      </c>
      <c r="AK39" s="83">
        <v>1</v>
      </c>
      <c r="AL39" s="83">
        <v>32000</v>
      </c>
      <c r="AM39" s="83" t="s">
        <v>2693</v>
      </c>
      <c r="BK39" s="83" t="s">
        <v>2694</v>
      </c>
      <c r="BL39" s="83" t="s">
        <v>2697</v>
      </c>
      <c r="BM39" s="83" t="s">
        <v>2699</v>
      </c>
      <c r="BN39" s="83" t="s">
        <v>2698</v>
      </c>
      <c r="BO39" s="83" t="s">
        <v>2697</v>
      </c>
      <c r="BP39" s="83" t="s">
        <v>2697</v>
      </c>
      <c r="BQ39" s="83" t="s">
        <v>2699</v>
      </c>
      <c r="BR39" s="83" t="s">
        <v>2699</v>
      </c>
      <c r="BS39" s="83" t="s">
        <v>2699</v>
      </c>
      <c r="BT39" s="83" t="s">
        <v>2696</v>
      </c>
      <c r="BU39" s="83" t="s">
        <v>2699</v>
      </c>
      <c r="BV39" s="83" t="s">
        <v>2696</v>
      </c>
      <c r="BW39" s="83" t="s">
        <v>2698</v>
      </c>
      <c r="BX39" s="83" t="s">
        <v>2696</v>
      </c>
      <c r="BY39" s="83" t="s">
        <v>2699</v>
      </c>
      <c r="BZ39" s="83" t="s">
        <v>2693</v>
      </c>
      <c r="CA39" s="83" t="s">
        <v>2693</v>
      </c>
      <c r="CB39" s="83" t="s">
        <v>2694</v>
      </c>
      <c r="CC39" s="83" t="s">
        <v>2699</v>
      </c>
      <c r="CD39" s="83" t="s">
        <v>2696</v>
      </c>
      <c r="CF39" s="83" t="s">
        <v>2957</v>
      </c>
      <c r="CG39" s="83" t="s">
        <v>2958</v>
      </c>
      <c r="CH39" s="83" t="s">
        <v>2725</v>
      </c>
      <c r="CI39" s="83" t="s">
        <v>1358</v>
      </c>
      <c r="CJ39" s="83" t="s">
        <v>2726</v>
      </c>
      <c r="CK39" s="144">
        <v>0</v>
      </c>
      <c r="CL39" s="99">
        <v>43000</v>
      </c>
    </row>
    <row r="40" spans="1:90">
      <c r="A40" s="83" t="s">
        <v>2646</v>
      </c>
      <c r="B40" s="83" t="s">
        <v>2645</v>
      </c>
      <c r="D40" s="83" t="s">
        <v>688</v>
      </c>
      <c r="E40" s="83" t="s">
        <v>2541</v>
      </c>
      <c r="F40" s="83" t="s">
        <v>3251</v>
      </c>
      <c r="G40" s="83" t="s">
        <v>2319</v>
      </c>
      <c r="H40" s="83" t="s">
        <v>1201</v>
      </c>
      <c r="I40" s="83" t="s">
        <v>1202</v>
      </c>
      <c r="J40" s="83" t="s">
        <v>1203</v>
      </c>
      <c r="K40" s="83" t="s">
        <v>565</v>
      </c>
      <c r="L40" s="83" t="s">
        <v>398</v>
      </c>
      <c r="M40" s="83" t="s">
        <v>399</v>
      </c>
      <c r="N40" s="83" t="s">
        <v>3248</v>
      </c>
      <c r="O40" s="83" t="s">
        <v>106</v>
      </c>
      <c r="P40" s="83">
        <v>4</v>
      </c>
      <c r="Q40" s="83" t="s">
        <v>106</v>
      </c>
      <c r="R40" s="83" t="s">
        <v>2727</v>
      </c>
      <c r="S40" s="83" t="s">
        <v>2928</v>
      </c>
      <c r="T40" s="83" t="s">
        <v>2843</v>
      </c>
      <c r="U40" s="83" t="s">
        <v>401</v>
      </c>
      <c r="AC40" s="83" t="s">
        <v>401</v>
      </c>
      <c r="AD40" s="83">
        <v>91000</v>
      </c>
      <c r="AF40" s="83">
        <v>9000</v>
      </c>
      <c r="AJ40" s="83">
        <v>1</v>
      </c>
      <c r="AK40" s="83">
        <v>1</v>
      </c>
      <c r="AL40" s="83">
        <v>886</v>
      </c>
      <c r="AM40" s="83" t="s">
        <v>2693</v>
      </c>
      <c r="BK40" s="83" t="s">
        <v>2694</v>
      </c>
      <c r="BL40" s="83" t="s">
        <v>2704</v>
      </c>
      <c r="BM40" s="83" t="s">
        <v>2697</v>
      </c>
      <c r="BN40" s="83" t="s">
        <v>2698</v>
      </c>
      <c r="BO40" s="83" t="s">
        <v>2697</v>
      </c>
      <c r="BP40" s="83" t="s">
        <v>2698</v>
      </c>
      <c r="BQ40" s="83" t="s">
        <v>2699</v>
      </c>
      <c r="BR40" s="83" t="s">
        <v>2693</v>
      </c>
      <c r="BS40" s="83" t="s">
        <v>2699</v>
      </c>
      <c r="BT40" s="83" t="s">
        <v>2696</v>
      </c>
      <c r="BU40" s="83" t="s">
        <v>2699</v>
      </c>
      <c r="BV40" s="83" t="s">
        <v>2696</v>
      </c>
      <c r="BW40" s="83" t="s">
        <v>2698</v>
      </c>
      <c r="BX40" s="83" t="s">
        <v>2696</v>
      </c>
      <c r="BY40" s="83" t="s">
        <v>2699</v>
      </c>
      <c r="BZ40" s="83" t="s">
        <v>2693</v>
      </c>
      <c r="CA40" s="83" t="s">
        <v>2693</v>
      </c>
      <c r="CB40" s="83" t="s">
        <v>2694</v>
      </c>
      <c r="CC40" s="83" t="s">
        <v>2699</v>
      </c>
      <c r="CD40" s="83" t="s">
        <v>2696</v>
      </c>
      <c r="CF40" s="83" t="s">
        <v>3252</v>
      </c>
      <c r="CG40" s="83" t="s">
        <v>3253</v>
      </c>
      <c r="CH40" s="83" t="s">
        <v>2693</v>
      </c>
      <c r="CI40" s="83" t="s">
        <v>3992</v>
      </c>
      <c r="CJ40" s="83" t="s">
        <v>2701</v>
      </c>
      <c r="CK40" s="144">
        <v>4</v>
      </c>
      <c r="CL40" s="99">
        <v>526000</v>
      </c>
    </row>
    <row r="41" spans="1:90">
      <c r="A41" s="83" t="s">
        <v>2646</v>
      </c>
      <c r="B41" s="83" t="s">
        <v>2645</v>
      </c>
      <c r="D41" s="83" t="s">
        <v>673</v>
      </c>
      <c r="E41" s="83" t="s">
        <v>894</v>
      </c>
      <c r="F41" s="83" t="s">
        <v>3251</v>
      </c>
      <c r="G41" s="83" t="s">
        <v>2319</v>
      </c>
      <c r="H41" s="83" t="s">
        <v>1201</v>
      </c>
      <c r="I41" s="83" t="s">
        <v>1202</v>
      </c>
      <c r="J41" s="83" t="s">
        <v>1203</v>
      </c>
      <c r="K41" s="83" t="s">
        <v>565</v>
      </c>
      <c r="L41" s="83" t="s">
        <v>398</v>
      </c>
      <c r="M41" s="83" t="s">
        <v>399</v>
      </c>
      <c r="N41" s="83" t="s">
        <v>3248</v>
      </c>
      <c r="O41" s="83" t="s">
        <v>106</v>
      </c>
      <c r="P41" s="83">
        <v>4</v>
      </c>
      <c r="Q41" s="83" t="s">
        <v>106</v>
      </c>
      <c r="R41" s="83" t="s">
        <v>2727</v>
      </c>
      <c r="S41" s="83" t="s">
        <v>2928</v>
      </c>
      <c r="T41" s="83" t="s">
        <v>2843</v>
      </c>
      <c r="U41" s="83" t="s">
        <v>401</v>
      </c>
      <c r="AC41" s="83" t="s">
        <v>401</v>
      </c>
      <c r="AD41" s="83">
        <v>87000</v>
      </c>
      <c r="AF41" s="83">
        <v>2000</v>
      </c>
      <c r="AJ41" s="83">
        <v>1</v>
      </c>
      <c r="AK41" s="83">
        <v>1</v>
      </c>
      <c r="AL41" s="83">
        <v>528</v>
      </c>
      <c r="AM41" s="83" t="s">
        <v>2693</v>
      </c>
      <c r="BK41" s="83" t="s">
        <v>2694</v>
      </c>
      <c r="BL41" s="83" t="s">
        <v>2704</v>
      </c>
      <c r="BM41" s="83" t="s">
        <v>2697</v>
      </c>
      <c r="BN41" s="83" t="s">
        <v>2698</v>
      </c>
      <c r="BO41" s="83" t="s">
        <v>2697</v>
      </c>
      <c r="BP41" s="83" t="s">
        <v>2698</v>
      </c>
      <c r="BQ41" s="83" t="s">
        <v>2699</v>
      </c>
      <c r="BR41" s="83" t="s">
        <v>2693</v>
      </c>
      <c r="BS41" s="83" t="s">
        <v>2699</v>
      </c>
      <c r="BT41" s="83" t="s">
        <v>2696</v>
      </c>
      <c r="BU41" s="83" t="s">
        <v>2699</v>
      </c>
      <c r="BV41" s="83" t="s">
        <v>2696</v>
      </c>
      <c r="BW41" s="83" t="s">
        <v>2698</v>
      </c>
      <c r="BX41" s="83" t="s">
        <v>2696</v>
      </c>
      <c r="BY41" s="83" t="s">
        <v>2699</v>
      </c>
      <c r="BZ41" s="83" t="s">
        <v>2693</v>
      </c>
      <c r="CA41" s="83" t="s">
        <v>2693</v>
      </c>
      <c r="CB41" s="83" t="s">
        <v>2694</v>
      </c>
      <c r="CC41" s="83" t="s">
        <v>2699</v>
      </c>
      <c r="CD41" s="83" t="s">
        <v>2696</v>
      </c>
      <c r="CF41" s="83" t="s">
        <v>3254</v>
      </c>
      <c r="CG41" s="83" t="s">
        <v>3255</v>
      </c>
      <c r="CH41" s="83" t="s">
        <v>2693</v>
      </c>
      <c r="CI41" s="83" t="s">
        <v>3992</v>
      </c>
      <c r="CJ41" s="83" t="s">
        <v>2701</v>
      </c>
      <c r="CK41" s="144">
        <v>0</v>
      </c>
      <c r="CL41"/>
    </row>
    <row r="42" spans="1:90">
      <c r="A42" s="83" t="s">
        <v>2646</v>
      </c>
      <c r="B42" s="83" t="s">
        <v>2645</v>
      </c>
      <c r="D42" s="83" t="s">
        <v>714</v>
      </c>
      <c r="E42" s="83" t="s">
        <v>2644</v>
      </c>
      <c r="F42" s="83" t="s">
        <v>3251</v>
      </c>
      <c r="G42" s="83" t="s">
        <v>2319</v>
      </c>
      <c r="H42" s="83" t="s">
        <v>1201</v>
      </c>
      <c r="I42" s="83" t="s">
        <v>1202</v>
      </c>
      <c r="J42" s="83" t="s">
        <v>1203</v>
      </c>
      <c r="K42" s="83" t="s">
        <v>565</v>
      </c>
      <c r="L42" s="83" t="s">
        <v>398</v>
      </c>
      <c r="M42" s="83" t="s">
        <v>399</v>
      </c>
      <c r="N42" s="83" t="s">
        <v>3248</v>
      </c>
      <c r="O42" s="83" t="s">
        <v>106</v>
      </c>
      <c r="P42" s="83">
        <v>4</v>
      </c>
      <c r="Q42" s="83" t="s">
        <v>106</v>
      </c>
      <c r="R42" s="83" t="s">
        <v>2727</v>
      </c>
      <c r="S42" s="83" t="s">
        <v>2928</v>
      </c>
      <c r="T42" s="83" t="s">
        <v>2843</v>
      </c>
      <c r="U42" s="83" t="s">
        <v>401</v>
      </c>
      <c r="AC42" s="83" t="s">
        <v>401</v>
      </c>
      <c r="AD42" s="83">
        <v>96000</v>
      </c>
      <c r="AF42" s="83">
        <v>3000</v>
      </c>
      <c r="AJ42" s="83">
        <v>1</v>
      </c>
      <c r="AK42" s="83">
        <v>1</v>
      </c>
      <c r="AL42" s="83">
        <v>886</v>
      </c>
      <c r="AM42" s="83" t="s">
        <v>2693</v>
      </c>
      <c r="BK42" s="83" t="s">
        <v>2694</v>
      </c>
      <c r="BL42" s="83">
        <v>7</v>
      </c>
      <c r="BM42" s="83" t="s">
        <v>2698</v>
      </c>
      <c r="BN42" s="83" t="s">
        <v>2698</v>
      </c>
      <c r="BO42" s="83" t="s">
        <v>2697</v>
      </c>
      <c r="BP42" s="83" t="s">
        <v>2698</v>
      </c>
      <c r="BQ42" s="83" t="s">
        <v>2699</v>
      </c>
      <c r="BR42" s="83" t="s">
        <v>2693</v>
      </c>
      <c r="BS42" s="83" t="s">
        <v>2699</v>
      </c>
      <c r="BT42" s="83" t="s">
        <v>2696</v>
      </c>
      <c r="BU42" s="83" t="s">
        <v>2699</v>
      </c>
      <c r="BV42" s="83" t="s">
        <v>2696</v>
      </c>
      <c r="BW42" s="83" t="s">
        <v>2698</v>
      </c>
      <c r="BX42" s="83" t="s">
        <v>2696</v>
      </c>
      <c r="BY42" s="83" t="s">
        <v>2699</v>
      </c>
      <c r="BZ42" s="83" t="s">
        <v>2693</v>
      </c>
      <c r="CA42" s="83" t="s">
        <v>2693</v>
      </c>
      <c r="CB42" s="83" t="s">
        <v>2694</v>
      </c>
      <c r="CC42" s="83" t="s">
        <v>2699</v>
      </c>
      <c r="CD42" s="83" t="s">
        <v>2696</v>
      </c>
      <c r="CF42" s="83" t="s">
        <v>3256</v>
      </c>
      <c r="CG42" s="83" t="s">
        <v>3257</v>
      </c>
      <c r="CH42" s="83" t="s">
        <v>2693</v>
      </c>
      <c r="CI42" s="83" t="s">
        <v>3992</v>
      </c>
      <c r="CJ42" s="83" t="s">
        <v>2701</v>
      </c>
      <c r="CK42" s="144">
        <v>0</v>
      </c>
      <c r="CL42"/>
    </row>
    <row r="43" spans="1:90">
      <c r="A43" s="83" t="s">
        <v>1526</v>
      </c>
      <c r="B43" s="83" t="s">
        <v>3728</v>
      </c>
      <c r="D43" s="83" t="s">
        <v>688</v>
      </c>
      <c r="E43" s="83" t="s">
        <v>1012</v>
      </c>
      <c r="F43" s="83" t="s">
        <v>1690</v>
      </c>
      <c r="G43" s="83" t="s">
        <v>1814</v>
      </c>
      <c r="H43" s="83" t="s">
        <v>1201</v>
      </c>
      <c r="I43" s="83" t="s">
        <v>1202</v>
      </c>
      <c r="J43" s="83" t="s">
        <v>1203</v>
      </c>
      <c r="K43" s="83" t="s">
        <v>565</v>
      </c>
      <c r="L43" s="83" t="s">
        <v>398</v>
      </c>
      <c r="M43" s="83" t="s">
        <v>399</v>
      </c>
      <c r="N43" s="83" t="s">
        <v>2743</v>
      </c>
      <c r="O43" s="83" t="s">
        <v>106</v>
      </c>
      <c r="P43" s="83">
        <v>1</v>
      </c>
      <c r="Q43" s="83" t="s">
        <v>106</v>
      </c>
      <c r="R43" s="83" t="s">
        <v>2691</v>
      </c>
      <c r="S43" s="83" t="s">
        <v>2712</v>
      </c>
      <c r="T43" s="83" t="s">
        <v>2712</v>
      </c>
      <c r="U43" s="83" t="s">
        <v>401</v>
      </c>
      <c r="AC43" s="83" t="s">
        <v>401</v>
      </c>
      <c r="AD43" s="83">
        <v>332000</v>
      </c>
      <c r="AF43" s="83">
        <v>0</v>
      </c>
      <c r="AJ43" s="83">
        <v>1</v>
      </c>
      <c r="AK43" s="83">
        <v>1</v>
      </c>
      <c r="AL43" s="83">
        <v>4320</v>
      </c>
      <c r="AM43" s="83" t="s">
        <v>2693</v>
      </c>
      <c r="BK43" s="83" t="s">
        <v>2694</v>
      </c>
      <c r="BL43" s="83" t="s">
        <v>2704</v>
      </c>
      <c r="BM43" s="83" t="s">
        <v>2698</v>
      </c>
      <c r="BN43" s="83" t="s">
        <v>2696</v>
      </c>
      <c r="BO43" s="83" t="s">
        <v>2693</v>
      </c>
      <c r="BP43" s="83" t="s">
        <v>2698</v>
      </c>
      <c r="BQ43" s="83" t="s">
        <v>2699</v>
      </c>
      <c r="BR43" s="83" t="s">
        <v>2693</v>
      </c>
      <c r="BS43" s="83" t="s">
        <v>2699</v>
      </c>
      <c r="BT43" s="83" t="s">
        <v>2696</v>
      </c>
      <c r="BU43" s="83" t="s">
        <v>2699</v>
      </c>
      <c r="BV43" s="83" t="s">
        <v>2696</v>
      </c>
      <c r="BW43" s="83" t="s">
        <v>2697</v>
      </c>
      <c r="BX43" s="83" t="s">
        <v>2696</v>
      </c>
      <c r="BY43" s="83" t="s">
        <v>2699</v>
      </c>
      <c r="BZ43" s="83" t="s">
        <v>2693</v>
      </c>
      <c r="CA43" s="83" t="s">
        <v>2693</v>
      </c>
      <c r="CB43" s="83">
        <v>8</v>
      </c>
      <c r="CC43" s="83" t="s">
        <v>2699</v>
      </c>
      <c r="CD43" s="83" t="s">
        <v>2696</v>
      </c>
      <c r="CF43" s="83" t="s">
        <v>3729</v>
      </c>
      <c r="CG43" s="83" t="s">
        <v>1927</v>
      </c>
      <c r="CH43" s="83" t="s">
        <v>2699</v>
      </c>
      <c r="CI43" s="79">
        <v>1</v>
      </c>
      <c r="CJ43" s="83" t="s">
        <v>2734</v>
      </c>
      <c r="CK43" s="144">
        <v>0</v>
      </c>
      <c r="CL43" s="99">
        <v>13000</v>
      </c>
    </row>
    <row r="44" spans="1:90">
      <c r="A44" s="83" t="s">
        <v>2522</v>
      </c>
      <c r="B44" s="83" t="s">
        <v>730</v>
      </c>
      <c r="D44" s="83" t="s">
        <v>688</v>
      </c>
      <c r="E44" s="83" t="s">
        <v>730</v>
      </c>
      <c r="F44" s="83" t="s">
        <v>2919</v>
      </c>
      <c r="G44" s="83" t="s">
        <v>2272</v>
      </c>
      <c r="H44" s="83" t="s">
        <v>1201</v>
      </c>
      <c r="I44" s="83" t="s">
        <v>1202</v>
      </c>
      <c r="J44" s="83" t="s">
        <v>1203</v>
      </c>
      <c r="K44" s="83" t="s">
        <v>565</v>
      </c>
      <c r="L44" s="83" t="s">
        <v>398</v>
      </c>
      <c r="M44" s="83" t="s">
        <v>399</v>
      </c>
      <c r="N44" s="83" t="s">
        <v>2899</v>
      </c>
      <c r="O44" s="83" t="s">
        <v>106</v>
      </c>
      <c r="P44" s="83">
        <v>5</v>
      </c>
      <c r="Q44" s="83" t="s">
        <v>106</v>
      </c>
      <c r="R44" s="83" t="s">
        <v>2727</v>
      </c>
      <c r="S44" s="83" t="s">
        <v>2810</v>
      </c>
      <c r="T44" s="83" t="s">
        <v>2843</v>
      </c>
      <c r="U44" s="83" t="s">
        <v>401</v>
      </c>
      <c r="AC44" s="83" t="s">
        <v>401</v>
      </c>
      <c r="AD44" s="83">
        <v>4548000</v>
      </c>
      <c r="AF44" s="83">
        <v>282000</v>
      </c>
      <c r="AJ44" s="83">
        <v>1</v>
      </c>
      <c r="AK44" s="83">
        <v>2</v>
      </c>
      <c r="AL44" s="83">
        <v>28580</v>
      </c>
      <c r="AM44" s="83" t="s">
        <v>2693</v>
      </c>
      <c r="BK44" s="83" t="s">
        <v>2694</v>
      </c>
      <c r="BL44" s="83" t="s">
        <v>2697</v>
      </c>
      <c r="BM44" s="83" t="s">
        <v>2699</v>
      </c>
      <c r="BN44" s="83" t="s">
        <v>2698</v>
      </c>
      <c r="BO44" s="83" t="s">
        <v>2697</v>
      </c>
      <c r="BP44" s="83" t="s">
        <v>2699</v>
      </c>
      <c r="BQ44" s="83" t="s">
        <v>2699</v>
      </c>
      <c r="BR44" s="83" t="s">
        <v>2699</v>
      </c>
      <c r="BS44" s="83" t="s">
        <v>2699</v>
      </c>
      <c r="BT44" s="83" t="s">
        <v>2696</v>
      </c>
      <c r="BU44" s="83" t="s">
        <v>2699</v>
      </c>
      <c r="BV44" s="83" t="s">
        <v>2696</v>
      </c>
      <c r="BW44" s="83" t="s">
        <v>2698</v>
      </c>
      <c r="BX44" s="83" t="s">
        <v>2696</v>
      </c>
      <c r="BY44" s="83" t="s">
        <v>2699</v>
      </c>
      <c r="BZ44" s="83" t="s">
        <v>2693</v>
      </c>
      <c r="CA44" s="83" t="s">
        <v>2693</v>
      </c>
      <c r="CB44" s="83" t="s">
        <v>2694</v>
      </c>
      <c r="CC44" s="83" t="s">
        <v>2699</v>
      </c>
      <c r="CD44" s="83" t="s">
        <v>2696</v>
      </c>
      <c r="CF44" s="83" t="s">
        <v>2959</v>
      </c>
      <c r="CG44" s="83" t="s">
        <v>2960</v>
      </c>
      <c r="CH44" s="83" t="s">
        <v>2725</v>
      </c>
      <c r="CI44" s="83" t="s">
        <v>1358</v>
      </c>
      <c r="CJ44" s="83" t="s">
        <v>2780</v>
      </c>
      <c r="CK44" s="144">
        <v>4</v>
      </c>
      <c r="CL44" s="99">
        <v>296000</v>
      </c>
    </row>
    <row r="45" spans="1:90">
      <c r="A45" s="83" t="s">
        <v>1517</v>
      </c>
      <c r="B45" s="83" t="s">
        <v>3730</v>
      </c>
      <c r="D45" s="83" t="s">
        <v>688</v>
      </c>
      <c r="E45" s="83" t="s">
        <v>2728</v>
      </c>
      <c r="F45" s="83" t="s">
        <v>1691</v>
      </c>
      <c r="G45" s="83" t="s">
        <v>1815</v>
      </c>
      <c r="H45" s="83" t="s">
        <v>1201</v>
      </c>
      <c r="I45" s="83" t="s">
        <v>1202</v>
      </c>
      <c r="J45" s="83" t="s">
        <v>1203</v>
      </c>
      <c r="K45" s="83" t="s">
        <v>565</v>
      </c>
      <c r="L45" s="83" t="s">
        <v>398</v>
      </c>
      <c r="M45" s="83" t="s">
        <v>399</v>
      </c>
      <c r="N45" s="83" t="s">
        <v>2709</v>
      </c>
      <c r="O45" s="83" t="s">
        <v>106</v>
      </c>
      <c r="P45" s="83">
        <v>1</v>
      </c>
      <c r="Q45" s="83" t="s">
        <v>106</v>
      </c>
      <c r="R45" s="83" t="s">
        <v>2691</v>
      </c>
      <c r="S45" s="83" t="s">
        <v>3054</v>
      </c>
      <c r="T45" s="83" t="s">
        <v>3054</v>
      </c>
      <c r="U45" s="83" t="s">
        <v>401</v>
      </c>
      <c r="AC45" s="83" t="s">
        <v>401</v>
      </c>
      <c r="AD45" s="83">
        <v>288000</v>
      </c>
      <c r="AF45" s="83">
        <v>0</v>
      </c>
      <c r="AJ45" s="83">
        <v>1</v>
      </c>
      <c r="AK45" s="83">
        <v>1</v>
      </c>
      <c r="AL45" s="83">
        <v>3484</v>
      </c>
      <c r="AM45" s="83" t="s">
        <v>2693</v>
      </c>
      <c r="BK45" s="83" t="s">
        <v>2694</v>
      </c>
      <c r="BL45" s="83" t="s">
        <v>2704</v>
      </c>
      <c r="BM45" s="83" t="s">
        <v>2698</v>
      </c>
      <c r="BN45" s="83" t="s">
        <v>2696</v>
      </c>
      <c r="BO45" s="83" t="s">
        <v>2693</v>
      </c>
      <c r="BP45" s="83" t="s">
        <v>2698</v>
      </c>
      <c r="BQ45" s="83" t="s">
        <v>2699</v>
      </c>
      <c r="BR45" s="83" t="s">
        <v>2693</v>
      </c>
      <c r="BS45" s="83" t="s">
        <v>2699</v>
      </c>
      <c r="BT45" s="83" t="s">
        <v>2696</v>
      </c>
      <c r="BU45" s="83" t="s">
        <v>2699</v>
      </c>
      <c r="BV45" s="83" t="s">
        <v>2696</v>
      </c>
      <c r="BW45" s="83" t="s">
        <v>2699</v>
      </c>
      <c r="BX45" s="83" t="s">
        <v>2696</v>
      </c>
      <c r="BY45" s="83" t="s">
        <v>2699</v>
      </c>
      <c r="BZ45" s="83" t="s">
        <v>2693</v>
      </c>
      <c r="CA45" s="83" t="s">
        <v>2693</v>
      </c>
      <c r="CB45" s="83">
        <v>3</v>
      </c>
      <c r="CC45" s="83" t="s">
        <v>2699</v>
      </c>
      <c r="CD45" s="83" t="s">
        <v>2696</v>
      </c>
      <c r="CF45" s="83" t="s">
        <v>1020</v>
      </c>
      <c r="CG45" s="83" t="s">
        <v>1928</v>
      </c>
      <c r="CH45" s="83" t="s">
        <v>2699</v>
      </c>
      <c r="CI45" s="79">
        <v>1</v>
      </c>
      <c r="CJ45" s="83" t="s">
        <v>2734</v>
      </c>
      <c r="CK45" s="144">
        <v>0</v>
      </c>
      <c r="CL45" s="99">
        <v>215000</v>
      </c>
    </row>
    <row r="46" spans="1:90">
      <c r="A46" s="83" t="s">
        <v>1479</v>
      </c>
      <c r="B46" s="83" t="s">
        <v>1613</v>
      </c>
      <c r="D46" s="83" t="s">
        <v>688</v>
      </c>
      <c r="E46" s="83" t="s">
        <v>1613</v>
      </c>
      <c r="F46" s="83" t="s">
        <v>1692</v>
      </c>
      <c r="G46" s="83" t="s">
        <v>1816</v>
      </c>
      <c r="H46" s="83" t="s">
        <v>1201</v>
      </c>
      <c r="I46" s="83" t="s">
        <v>1202</v>
      </c>
      <c r="J46" s="83" t="s">
        <v>1203</v>
      </c>
      <c r="K46" s="83" t="s">
        <v>565</v>
      </c>
      <c r="L46" s="83" t="s">
        <v>398</v>
      </c>
      <c r="M46" s="83" t="s">
        <v>399</v>
      </c>
      <c r="N46" s="83" t="s">
        <v>2719</v>
      </c>
      <c r="O46" s="83" t="s">
        <v>106</v>
      </c>
      <c r="P46" s="83">
        <v>8</v>
      </c>
      <c r="Q46" s="83" t="s">
        <v>106</v>
      </c>
      <c r="R46" s="83" t="s">
        <v>2691</v>
      </c>
      <c r="S46" s="83" t="s">
        <v>2712</v>
      </c>
      <c r="T46" s="83" t="s">
        <v>2703</v>
      </c>
      <c r="U46" s="83" t="s">
        <v>401</v>
      </c>
      <c r="AC46" s="83" t="s">
        <v>401</v>
      </c>
      <c r="AD46" s="83">
        <v>381000</v>
      </c>
      <c r="AF46" s="83">
        <v>43000</v>
      </c>
      <c r="AJ46" s="83">
        <v>1</v>
      </c>
      <c r="AK46" s="83">
        <v>1</v>
      </c>
      <c r="AL46" s="83">
        <v>4340</v>
      </c>
      <c r="AM46" s="83" t="s">
        <v>2693</v>
      </c>
      <c r="BK46" s="83" t="s">
        <v>2694</v>
      </c>
      <c r="BL46" s="83" t="s">
        <v>2704</v>
      </c>
      <c r="BM46" s="83" t="s">
        <v>2698</v>
      </c>
      <c r="BN46" s="83" t="s">
        <v>2698</v>
      </c>
      <c r="BO46" s="83" t="s">
        <v>2697</v>
      </c>
      <c r="BP46" s="83" t="s">
        <v>2697</v>
      </c>
      <c r="BQ46" s="83" t="s">
        <v>2696</v>
      </c>
      <c r="BR46" s="83" t="s">
        <v>2693</v>
      </c>
      <c r="BS46" s="83" t="s">
        <v>2699</v>
      </c>
      <c r="BT46" s="83" t="s">
        <v>2696</v>
      </c>
      <c r="BU46" s="83" t="s">
        <v>2699</v>
      </c>
      <c r="BV46" s="83" t="s">
        <v>2696</v>
      </c>
      <c r="BW46" s="83" t="s">
        <v>2695</v>
      </c>
      <c r="BX46" s="83" t="s">
        <v>2696</v>
      </c>
      <c r="BY46" s="83" t="s">
        <v>2699</v>
      </c>
      <c r="BZ46" s="83" t="s">
        <v>2693</v>
      </c>
      <c r="CA46" s="83" t="s">
        <v>2693</v>
      </c>
      <c r="CB46" s="83">
        <v>3</v>
      </c>
      <c r="CC46" s="83" t="s">
        <v>2699</v>
      </c>
      <c r="CD46" s="83" t="s">
        <v>2696</v>
      </c>
      <c r="CF46" s="83" t="s">
        <v>1929</v>
      </c>
      <c r="CG46" s="83" t="s">
        <v>1930</v>
      </c>
      <c r="CH46" s="83" t="s">
        <v>2695</v>
      </c>
      <c r="CI46" s="83" t="s">
        <v>648</v>
      </c>
      <c r="CJ46" s="83" t="s">
        <v>2726</v>
      </c>
      <c r="CK46" s="144">
        <v>0</v>
      </c>
      <c r="CL46" s="99">
        <v>123000</v>
      </c>
    </row>
    <row r="47" spans="1:90">
      <c r="A47" s="83" t="s">
        <v>2501</v>
      </c>
      <c r="B47" s="83" t="s">
        <v>726</v>
      </c>
      <c r="D47" s="83" t="s">
        <v>688</v>
      </c>
      <c r="E47" s="83" t="s">
        <v>726</v>
      </c>
      <c r="F47" s="83" t="s">
        <v>2915</v>
      </c>
      <c r="G47" s="83" t="s">
        <v>2271</v>
      </c>
      <c r="H47" s="83" t="s">
        <v>1201</v>
      </c>
      <c r="I47" s="83" t="s">
        <v>1202</v>
      </c>
      <c r="J47" s="83" t="s">
        <v>1203</v>
      </c>
      <c r="K47" s="83" t="s">
        <v>565</v>
      </c>
      <c r="L47" s="83" t="s">
        <v>398</v>
      </c>
      <c r="M47" s="83" t="s">
        <v>399</v>
      </c>
      <c r="N47" s="83" t="s">
        <v>2899</v>
      </c>
      <c r="O47" s="83" t="s">
        <v>106</v>
      </c>
      <c r="P47" s="83">
        <v>1</v>
      </c>
      <c r="Q47" s="83" t="s">
        <v>106</v>
      </c>
      <c r="R47" s="83" t="s">
        <v>2730</v>
      </c>
      <c r="S47" s="83" t="s">
        <v>2746</v>
      </c>
      <c r="T47" s="83" t="s">
        <v>2843</v>
      </c>
      <c r="U47" s="83" t="s">
        <v>401</v>
      </c>
      <c r="AC47" s="83" t="s">
        <v>401</v>
      </c>
      <c r="AD47" s="83">
        <v>782000</v>
      </c>
      <c r="AF47" s="83">
        <v>175000</v>
      </c>
      <c r="AJ47" s="83">
        <v>1</v>
      </c>
      <c r="AK47" s="83">
        <v>2</v>
      </c>
      <c r="AL47" s="83">
        <v>8440</v>
      </c>
      <c r="AM47" s="83" t="s">
        <v>2693</v>
      </c>
      <c r="BK47" s="83" t="s">
        <v>2694</v>
      </c>
      <c r="BL47" s="83" t="s">
        <v>2693</v>
      </c>
      <c r="BM47" s="83" t="s">
        <v>2698</v>
      </c>
      <c r="BN47" s="83" t="s">
        <v>2696</v>
      </c>
      <c r="BO47" s="83" t="s">
        <v>2697</v>
      </c>
      <c r="BP47" s="83" t="s">
        <v>2698</v>
      </c>
      <c r="BQ47" s="83" t="s">
        <v>2699</v>
      </c>
      <c r="BR47" s="83" t="s">
        <v>2693</v>
      </c>
      <c r="BS47" s="83" t="s">
        <v>2699</v>
      </c>
      <c r="BT47" s="83" t="s">
        <v>2696</v>
      </c>
      <c r="BU47" s="83" t="s">
        <v>2699</v>
      </c>
      <c r="BV47" s="83" t="s">
        <v>2696</v>
      </c>
      <c r="BW47" s="83" t="s">
        <v>2697</v>
      </c>
      <c r="BX47" s="83" t="s">
        <v>2696</v>
      </c>
      <c r="BY47" s="83" t="s">
        <v>2699</v>
      </c>
      <c r="BZ47" s="83" t="s">
        <v>2693</v>
      </c>
      <c r="CA47" s="83" t="s">
        <v>2693</v>
      </c>
      <c r="CB47" s="83" t="s">
        <v>2694</v>
      </c>
      <c r="CC47" s="83" t="s">
        <v>2699</v>
      </c>
      <c r="CD47" s="83" t="s">
        <v>2696</v>
      </c>
      <c r="CF47" s="83" t="s">
        <v>2916</v>
      </c>
      <c r="CG47" s="83" t="s">
        <v>1368</v>
      </c>
      <c r="CH47" s="83" t="s">
        <v>2699</v>
      </c>
      <c r="CI47" s="83">
        <v>1</v>
      </c>
      <c r="CJ47" s="83" t="s">
        <v>2734</v>
      </c>
      <c r="CK47" s="144">
        <v>0</v>
      </c>
      <c r="CL47" s="99">
        <v>24000</v>
      </c>
    </row>
    <row r="48" spans="1:90" s="82" customFormat="1">
      <c r="A48" s="82" t="s">
        <v>650</v>
      </c>
      <c r="B48" s="82" t="s">
        <v>540</v>
      </c>
      <c r="D48" s="82" t="s">
        <v>688</v>
      </c>
      <c r="E48" s="82" t="s">
        <v>689</v>
      </c>
      <c r="F48" s="82" t="s">
        <v>3370</v>
      </c>
      <c r="G48" s="82" t="s">
        <v>1152</v>
      </c>
      <c r="H48" s="82" t="s">
        <v>566</v>
      </c>
      <c r="I48" s="82" t="s">
        <v>567</v>
      </c>
      <c r="J48" s="82" t="s">
        <v>564</v>
      </c>
      <c r="K48" s="82" t="s">
        <v>565</v>
      </c>
      <c r="L48" s="82" t="s">
        <v>398</v>
      </c>
      <c r="M48" s="82" t="s">
        <v>399</v>
      </c>
      <c r="N48" s="82" t="s">
        <v>2752</v>
      </c>
      <c r="O48" s="82" t="s">
        <v>106</v>
      </c>
      <c r="P48" s="82">
        <v>4</v>
      </c>
      <c r="Q48" s="82" t="s">
        <v>106</v>
      </c>
      <c r="R48" s="82" t="s">
        <v>2799</v>
      </c>
      <c r="S48" s="82" t="s">
        <v>2712</v>
      </c>
      <c r="T48" s="82" t="s">
        <v>2703</v>
      </c>
      <c r="U48" s="82" t="s">
        <v>401</v>
      </c>
      <c r="AC48" s="82" t="s">
        <v>401</v>
      </c>
      <c r="AD48" s="82">
        <v>1334000</v>
      </c>
      <c r="AF48" s="82">
        <v>0</v>
      </c>
      <c r="AJ48" s="82">
        <v>1</v>
      </c>
      <c r="AK48" s="82">
        <v>1</v>
      </c>
      <c r="AL48" s="82">
        <v>10424</v>
      </c>
      <c r="AM48" s="82" t="s">
        <v>2693</v>
      </c>
      <c r="BK48" s="82" t="s">
        <v>2694</v>
      </c>
      <c r="BL48" s="82" t="s">
        <v>2697</v>
      </c>
      <c r="BM48" s="82" t="s">
        <v>2699</v>
      </c>
      <c r="BN48" s="82" t="s">
        <v>2698</v>
      </c>
      <c r="BO48" s="82" t="s">
        <v>2697</v>
      </c>
      <c r="BP48" s="82" t="s">
        <v>2695</v>
      </c>
      <c r="BQ48" s="82" t="s">
        <v>2699</v>
      </c>
      <c r="BR48" s="82" t="s">
        <v>2699</v>
      </c>
      <c r="BS48" s="82" t="s">
        <v>2699</v>
      </c>
      <c r="BT48" s="82" t="s">
        <v>2696</v>
      </c>
      <c r="BU48" s="82" t="s">
        <v>2699</v>
      </c>
      <c r="BV48" s="82" t="s">
        <v>2697</v>
      </c>
      <c r="BW48" s="82" t="s">
        <v>2698</v>
      </c>
      <c r="BX48" s="82" t="s">
        <v>2696</v>
      </c>
      <c r="BY48" s="82" t="s">
        <v>2699</v>
      </c>
      <c r="BZ48" s="82" t="s">
        <v>2699</v>
      </c>
      <c r="CA48" s="82" t="s">
        <v>2693</v>
      </c>
      <c r="CB48" s="82" t="s">
        <v>2694</v>
      </c>
      <c r="CC48" s="82" t="s">
        <v>2699</v>
      </c>
      <c r="CD48" s="82" t="s">
        <v>2699</v>
      </c>
      <c r="CF48" s="82" t="s">
        <v>572</v>
      </c>
      <c r="CG48" s="82" t="s">
        <v>573</v>
      </c>
      <c r="CH48" s="82" t="s">
        <v>2693</v>
      </c>
      <c r="CI48" s="82" t="s">
        <v>3992</v>
      </c>
      <c r="CJ48" s="82" t="s">
        <v>2701</v>
      </c>
      <c r="CK48" s="156">
        <v>0</v>
      </c>
      <c r="CL48" s="157">
        <v>28000</v>
      </c>
    </row>
    <row r="49" spans="1:90">
      <c r="A49" s="83" t="s">
        <v>2514</v>
      </c>
      <c r="B49" s="83" t="s">
        <v>729</v>
      </c>
      <c r="D49" s="83" t="s">
        <v>688</v>
      </c>
      <c r="E49" s="83" t="s">
        <v>2515</v>
      </c>
      <c r="F49" s="83" t="s">
        <v>1304</v>
      </c>
      <c r="G49" s="83" t="s">
        <v>2277</v>
      </c>
      <c r="H49" s="83" t="s">
        <v>1201</v>
      </c>
      <c r="I49" s="83" t="s">
        <v>1202</v>
      </c>
      <c r="J49" s="83" t="s">
        <v>1203</v>
      </c>
      <c r="K49" s="83" t="s">
        <v>565</v>
      </c>
      <c r="L49" s="83" t="s">
        <v>398</v>
      </c>
      <c r="M49" s="83" t="s">
        <v>399</v>
      </c>
      <c r="N49" s="83" t="s">
        <v>2899</v>
      </c>
      <c r="O49" s="83" t="s">
        <v>106</v>
      </c>
      <c r="P49" s="83">
        <v>8</v>
      </c>
      <c r="Q49" s="83" t="s">
        <v>106</v>
      </c>
      <c r="R49" s="83" t="s">
        <v>2694</v>
      </c>
      <c r="S49" s="83" t="s">
        <v>1455</v>
      </c>
      <c r="T49" s="83" t="s">
        <v>2843</v>
      </c>
      <c r="U49" s="83" t="s">
        <v>401</v>
      </c>
      <c r="AC49" s="83" t="s">
        <v>401</v>
      </c>
      <c r="AD49" s="83">
        <v>6503000</v>
      </c>
      <c r="AF49" s="83">
        <v>0</v>
      </c>
      <c r="AJ49" s="83">
        <v>1</v>
      </c>
      <c r="AK49" s="83">
        <v>3</v>
      </c>
      <c r="AL49" s="83">
        <v>40572</v>
      </c>
      <c r="AM49" s="83" t="s">
        <v>2693</v>
      </c>
      <c r="BK49" s="83" t="s">
        <v>2694</v>
      </c>
      <c r="BL49" s="83" t="s">
        <v>2697</v>
      </c>
      <c r="BM49" s="83" t="s">
        <v>2699</v>
      </c>
      <c r="BN49" s="83" t="s">
        <v>2698</v>
      </c>
      <c r="BO49" s="83" t="s">
        <v>2697</v>
      </c>
      <c r="BP49" s="83" t="s">
        <v>2697</v>
      </c>
      <c r="BQ49" s="83" t="s">
        <v>2699</v>
      </c>
      <c r="BR49" s="83" t="s">
        <v>2699</v>
      </c>
      <c r="BS49" s="83" t="s">
        <v>2699</v>
      </c>
      <c r="BT49" s="83" t="s">
        <v>2696</v>
      </c>
      <c r="BU49" s="83" t="s">
        <v>2699</v>
      </c>
      <c r="BV49" s="83" t="s">
        <v>2696</v>
      </c>
      <c r="BW49" s="83" t="s">
        <v>2698</v>
      </c>
      <c r="BX49" s="83" t="s">
        <v>2696</v>
      </c>
      <c r="BY49" s="83" t="s">
        <v>2699</v>
      </c>
      <c r="BZ49" s="83" t="s">
        <v>2693</v>
      </c>
      <c r="CA49" s="83" t="s">
        <v>2693</v>
      </c>
      <c r="CB49" s="83">
        <v>9</v>
      </c>
      <c r="CC49" s="83" t="s">
        <v>2699</v>
      </c>
      <c r="CD49" s="83" t="s">
        <v>2696</v>
      </c>
      <c r="CF49" s="83" t="s">
        <v>1371</v>
      </c>
      <c r="CG49" s="83" t="s">
        <v>2945</v>
      </c>
      <c r="CH49" s="83" t="s">
        <v>2695</v>
      </c>
      <c r="CI49" s="83" t="s">
        <v>648</v>
      </c>
      <c r="CJ49" s="83" t="s">
        <v>2722</v>
      </c>
      <c r="CK49" s="144">
        <v>0</v>
      </c>
      <c r="CL49" s="99">
        <v>54000</v>
      </c>
    </row>
    <row r="50" spans="1:90">
      <c r="A50" s="83" t="s">
        <v>2514</v>
      </c>
      <c r="B50" s="83" t="s">
        <v>729</v>
      </c>
      <c r="D50" s="83" t="s">
        <v>673</v>
      </c>
      <c r="E50" s="83" t="s">
        <v>2516</v>
      </c>
      <c r="F50" s="83" t="s">
        <v>1304</v>
      </c>
      <c r="G50" s="83" t="s">
        <v>2277</v>
      </c>
      <c r="H50" s="83" t="s">
        <v>1201</v>
      </c>
      <c r="I50" s="83" t="s">
        <v>1202</v>
      </c>
      <c r="J50" s="83" t="s">
        <v>1203</v>
      </c>
      <c r="K50" s="83" t="s">
        <v>565</v>
      </c>
      <c r="L50" s="83" t="s">
        <v>398</v>
      </c>
      <c r="M50" s="83" t="s">
        <v>399</v>
      </c>
      <c r="N50" s="83" t="s">
        <v>2899</v>
      </c>
      <c r="O50" s="83" t="s">
        <v>106</v>
      </c>
      <c r="P50" s="83">
        <v>8</v>
      </c>
      <c r="Q50" s="83" t="s">
        <v>106</v>
      </c>
      <c r="R50" s="83" t="s">
        <v>2694</v>
      </c>
      <c r="S50" s="83" t="s">
        <v>1455</v>
      </c>
      <c r="T50" s="83" t="s">
        <v>2843</v>
      </c>
      <c r="U50" s="83" t="s">
        <v>401</v>
      </c>
      <c r="AC50" s="83" t="s">
        <v>401</v>
      </c>
      <c r="AD50" s="83">
        <v>2590000</v>
      </c>
      <c r="AF50" s="83">
        <v>0</v>
      </c>
      <c r="AJ50" s="83">
        <v>1</v>
      </c>
      <c r="AK50" s="83">
        <v>1</v>
      </c>
      <c r="AL50" s="83">
        <v>19278</v>
      </c>
      <c r="AM50" s="83" t="s">
        <v>2693</v>
      </c>
      <c r="BK50" s="83" t="s">
        <v>2694</v>
      </c>
      <c r="BL50" s="83" t="s">
        <v>2697</v>
      </c>
      <c r="BM50" s="83" t="s">
        <v>2699</v>
      </c>
      <c r="BN50" s="83" t="s">
        <v>2698</v>
      </c>
      <c r="BO50" s="83" t="s">
        <v>2697</v>
      </c>
      <c r="BP50" s="83" t="s">
        <v>2697</v>
      </c>
      <c r="BQ50" s="83" t="s">
        <v>2699</v>
      </c>
      <c r="BR50" s="83" t="s">
        <v>2699</v>
      </c>
      <c r="BS50" s="83" t="s">
        <v>2699</v>
      </c>
      <c r="BT50" s="83" t="s">
        <v>2696</v>
      </c>
      <c r="BU50" s="83" t="s">
        <v>2699</v>
      </c>
      <c r="BV50" s="83" t="s">
        <v>2696</v>
      </c>
      <c r="BW50" s="83" t="s">
        <v>2698</v>
      </c>
      <c r="BX50" s="83" t="s">
        <v>2696</v>
      </c>
      <c r="BY50" s="83" t="s">
        <v>2699</v>
      </c>
      <c r="BZ50" s="83" t="s">
        <v>2693</v>
      </c>
      <c r="CA50" s="83" t="s">
        <v>2693</v>
      </c>
      <c r="CB50" s="83">
        <v>9</v>
      </c>
      <c r="CC50" s="83" t="s">
        <v>2699</v>
      </c>
      <c r="CD50" s="83" t="s">
        <v>2696</v>
      </c>
      <c r="CF50" s="83" t="s">
        <v>2946</v>
      </c>
      <c r="CG50" s="83" t="s">
        <v>2947</v>
      </c>
      <c r="CH50" s="83" t="s">
        <v>2695</v>
      </c>
      <c r="CI50" s="83" t="s">
        <v>648</v>
      </c>
      <c r="CJ50" s="83" t="s">
        <v>2722</v>
      </c>
      <c r="CK50" s="144">
        <v>0</v>
      </c>
      <c r="CL50"/>
    </row>
    <row r="51" spans="1:90">
      <c r="A51" s="79" t="s">
        <v>3794</v>
      </c>
      <c r="B51" s="79" t="s">
        <v>3817</v>
      </c>
      <c r="C51" s="79"/>
      <c r="D51" s="79" t="s">
        <v>688</v>
      </c>
      <c r="E51" s="79" t="s">
        <v>3839</v>
      </c>
      <c r="F51" s="79">
        <v>350</v>
      </c>
      <c r="G51" s="79" t="s">
        <v>3877</v>
      </c>
      <c r="H51" s="79" t="s">
        <v>1201</v>
      </c>
      <c r="I51" s="79" t="s">
        <v>1202</v>
      </c>
      <c r="J51" s="79" t="s">
        <v>1203</v>
      </c>
      <c r="K51" s="79" t="s">
        <v>565</v>
      </c>
      <c r="L51" s="79" t="s">
        <v>398</v>
      </c>
      <c r="M51" s="79" t="s">
        <v>399</v>
      </c>
      <c r="N51" s="79" t="s">
        <v>2832</v>
      </c>
      <c r="O51" s="79" t="s">
        <v>106</v>
      </c>
      <c r="P51" s="79">
        <v>0</v>
      </c>
      <c r="Q51" s="79" t="s">
        <v>106</v>
      </c>
      <c r="R51" s="79">
        <v>9</v>
      </c>
      <c r="S51" s="90">
        <v>32873</v>
      </c>
      <c r="T51" s="79" t="s">
        <v>2703</v>
      </c>
      <c r="U51" s="79" t="s">
        <v>401</v>
      </c>
      <c r="AC51" s="79" t="s">
        <v>401</v>
      </c>
      <c r="AD51" s="79">
        <v>0</v>
      </c>
      <c r="AE51" s="79"/>
      <c r="AF51" s="79">
        <v>65000</v>
      </c>
      <c r="AG51" s="79"/>
      <c r="AH51" s="79"/>
      <c r="AI51" s="79"/>
      <c r="AJ51" s="79">
        <v>1</v>
      </c>
      <c r="AK51" s="79">
        <v>0</v>
      </c>
      <c r="AL51" s="79">
        <v>0</v>
      </c>
      <c r="AM51" s="79" t="s">
        <v>2693</v>
      </c>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v>0</v>
      </c>
      <c r="BL51" s="79">
        <v>0</v>
      </c>
      <c r="BM51" s="79">
        <v>0</v>
      </c>
      <c r="BN51" s="79">
        <v>0</v>
      </c>
      <c r="BO51" s="79">
        <v>0</v>
      </c>
      <c r="BP51" s="79">
        <v>0</v>
      </c>
      <c r="BQ51" s="79">
        <v>0</v>
      </c>
      <c r="BR51" s="79">
        <v>0</v>
      </c>
      <c r="BS51" s="79">
        <v>0</v>
      </c>
      <c r="BT51" s="79">
        <v>0</v>
      </c>
      <c r="BU51" s="79">
        <v>0</v>
      </c>
      <c r="BV51" s="79">
        <v>0</v>
      </c>
      <c r="BW51" s="79">
        <v>0</v>
      </c>
      <c r="BX51" s="79">
        <v>0</v>
      </c>
      <c r="BY51" s="79">
        <v>0</v>
      </c>
      <c r="BZ51" s="79">
        <v>0</v>
      </c>
      <c r="CA51" s="79">
        <v>0</v>
      </c>
      <c r="CB51" s="79">
        <v>0</v>
      </c>
      <c r="CC51" s="79">
        <v>0</v>
      </c>
      <c r="CD51" s="79">
        <v>0</v>
      </c>
      <c r="CE51" s="79"/>
      <c r="CF51" s="79" t="s">
        <v>3988</v>
      </c>
      <c r="CG51" s="79" t="s">
        <v>3989</v>
      </c>
      <c r="CH51" s="79"/>
      <c r="CI51" s="79"/>
      <c r="CJ51" s="79"/>
      <c r="CK51" s="145"/>
      <c r="CL51"/>
    </row>
    <row r="52" spans="1:90">
      <c r="A52" s="83" t="s">
        <v>1527</v>
      </c>
      <c r="B52" s="83" t="s">
        <v>3731</v>
      </c>
      <c r="D52" s="83" t="s">
        <v>688</v>
      </c>
      <c r="E52" s="83" t="s">
        <v>1668</v>
      </c>
      <c r="F52" s="83" t="s">
        <v>1693</v>
      </c>
      <c r="G52" s="83" t="s">
        <v>1817</v>
      </c>
      <c r="H52" s="83" t="s">
        <v>1201</v>
      </c>
      <c r="I52" s="83" t="s">
        <v>1202</v>
      </c>
      <c r="J52" s="83" t="s">
        <v>1203</v>
      </c>
      <c r="K52" s="83" t="s">
        <v>565</v>
      </c>
      <c r="L52" s="83" t="s">
        <v>398</v>
      </c>
      <c r="M52" s="83" t="s">
        <v>399</v>
      </c>
      <c r="N52" s="83" t="s">
        <v>2744</v>
      </c>
      <c r="O52" s="83" t="s">
        <v>106</v>
      </c>
      <c r="P52" s="83">
        <v>4</v>
      </c>
      <c r="Q52" s="83" t="s">
        <v>106</v>
      </c>
      <c r="R52" s="83" t="s">
        <v>2694</v>
      </c>
      <c r="S52" s="83" t="s">
        <v>2712</v>
      </c>
      <c r="T52" s="83" t="s">
        <v>2712</v>
      </c>
      <c r="U52" s="83" t="s">
        <v>401</v>
      </c>
      <c r="AC52" s="83" t="s">
        <v>401</v>
      </c>
      <c r="AD52" s="83">
        <v>129000</v>
      </c>
      <c r="AF52" s="83">
        <v>0</v>
      </c>
      <c r="AJ52" s="83">
        <v>1</v>
      </c>
      <c r="AK52" s="83">
        <v>1</v>
      </c>
      <c r="AL52" s="83">
        <v>1680</v>
      </c>
      <c r="AM52" s="83" t="s">
        <v>2693</v>
      </c>
      <c r="BK52" s="83" t="s">
        <v>2694</v>
      </c>
      <c r="BL52" s="83" t="s">
        <v>2704</v>
      </c>
      <c r="BM52" s="83" t="s">
        <v>2697</v>
      </c>
      <c r="BN52" s="83" t="s">
        <v>2699</v>
      </c>
      <c r="BO52" s="83" t="s">
        <v>2697</v>
      </c>
      <c r="BP52" s="83" t="s">
        <v>2698</v>
      </c>
      <c r="BQ52" s="83" t="s">
        <v>2693</v>
      </c>
      <c r="BR52" s="83" t="s">
        <v>2693</v>
      </c>
      <c r="BS52" s="83" t="s">
        <v>2699</v>
      </c>
      <c r="BT52" s="83" t="s">
        <v>2696</v>
      </c>
      <c r="BU52" s="83" t="s">
        <v>2699</v>
      </c>
      <c r="BV52" s="83" t="s">
        <v>2696</v>
      </c>
      <c r="BW52" s="83" t="s">
        <v>2695</v>
      </c>
      <c r="BX52" s="83" t="s">
        <v>2696</v>
      </c>
      <c r="BY52" s="83" t="s">
        <v>2696</v>
      </c>
      <c r="BZ52" s="83" t="s">
        <v>2699</v>
      </c>
      <c r="CA52" s="83" t="s">
        <v>2693</v>
      </c>
      <c r="CB52" s="83">
        <v>8</v>
      </c>
      <c r="CC52" s="83" t="s">
        <v>2693</v>
      </c>
      <c r="CD52" s="83" t="s">
        <v>2696</v>
      </c>
      <c r="CF52" s="83" t="s">
        <v>3732</v>
      </c>
      <c r="CG52" s="83" t="s">
        <v>1931</v>
      </c>
      <c r="CH52" s="83" t="s">
        <v>2693</v>
      </c>
      <c r="CI52" s="83" t="s">
        <v>1395</v>
      </c>
      <c r="CJ52" s="83" t="s">
        <v>2701</v>
      </c>
      <c r="CK52" s="144">
        <v>0</v>
      </c>
      <c r="CL52"/>
    </row>
    <row r="53" spans="1:90">
      <c r="A53" s="83" t="s">
        <v>1528</v>
      </c>
      <c r="B53" s="83" t="s">
        <v>3733</v>
      </c>
      <c r="D53" s="83" t="s">
        <v>688</v>
      </c>
      <c r="E53" s="83" t="s">
        <v>1668</v>
      </c>
      <c r="F53" s="83" t="s">
        <v>1694</v>
      </c>
      <c r="G53" s="83" t="s">
        <v>1818</v>
      </c>
      <c r="H53" s="83" t="s">
        <v>1201</v>
      </c>
      <c r="I53" s="83" t="s">
        <v>1202</v>
      </c>
      <c r="J53" s="83" t="s">
        <v>1203</v>
      </c>
      <c r="K53" s="83" t="s">
        <v>565</v>
      </c>
      <c r="L53" s="83" t="s">
        <v>398</v>
      </c>
      <c r="M53" s="83" t="s">
        <v>399</v>
      </c>
      <c r="N53" s="83" t="s">
        <v>2743</v>
      </c>
      <c r="O53" s="83" t="s">
        <v>106</v>
      </c>
      <c r="P53" s="83">
        <v>4</v>
      </c>
      <c r="Q53" s="83" t="s">
        <v>106</v>
      </c>
      <c r="R53" s="83" t="s">
        <v>2694</v>
      </c>
      <c r="S53" s="83" t="s">
        <v>2712</v>
      </c>
      <c r="T53" s="83" t="s">
        <v>2712</v>
      </c>
      <c r="U53" s="83" t="s">
        <v>401</v>
      </c>
      <c r="AC53" s="83" t="s">
        <v>401</v>
      </c>
      <c r="AD53" s="83">
        <v>141000</v>
      </c>
      <c r="AF53" s="83">
        <v>0</v>
      </c>
      <c r="AJ53" s="83">
        <v>1</v>
      </c>
      <c r="AK53" s="83">
        <v>1</v>
      </c>
      <c r="AL53" s="83">
        <v>1800</v>
      </c>
      <c r="AM53" s="83" t="s">
        <v>2693</v>
      </c>
      <c r="BK53" s="83" t="s">
        <v>2694</v>
      </c>
      <c r="BL53" s="83" t="s">
        <v>2704</v>
      </c>
      <c r="BM53" s="83" t="s">
        <v>2698</v>
      </c>
      <c r="BN53" s="83" t="s">
        <v>2699</v>
      </c>
      <c r="BO53" s="83" t="s">
        <v>2697</v>
      </c>
      <c r="BP53" s="83" t="s">
        <v>2698</v>
      </c>
      <c r="BQ53" s="83" t="s">
        <v>2693</v>
      </c>
      <c r="BR53" s="83" t="s">
        <v>2693</v>
      </c>
      <c r="BS53" s="83" t="s">
        <v>2699</v>
      </c>
      <c r="BT53" s="83" t="s">
        <v>2696</v>
      </c>
      <c r="BU53" s="83" t="s">
        <v>2699</v>
      </c>
      <c r="BV53" s="83" t="s">
        <v>2696</v>
      </c>
      <c r="BW53" s="83" t="s">
        <v>2695</v>
      </c>
      <c r="BX53" s="83" t="s">
        <v>2696</v>
      </c>
      <c r="BY53" s="83" t="s">
        <v>2696</v>
      </c>
      <c r="BZ53" s="83" t="s">
        <v>2693</v>
      </c>
      <c r="CA53" s="83" t="s">
        <v>2693</v>
      </c>
      <c r="CB53" s="83">
        <v>8</v>
      </c>
      <c r="CC53" s="83" t="s">
        <v>2693</v>
      </c>
      <c r="CD53" s="83" t="s">
        <v>2696</v>
      </c>
      <c r="CF53" s="83" t="s">
        <v>1932</v>
      </c>
      <c r="CG53" s="83" t="s">
        <v>3734</v>
      </c>
      <c r="CH53" s="83" t="s">
        <v>2693</v>
      </c>
      <c r="CI53" s="83" t="s">
        <v>1395</v>
      </c>
      <c r="CJ53" s="83" t="s">
        <v>2701</v>
      </c>
      <c r="CK53" s="144">
        <v>0</v>
      </c>
      <c r="CL53"/>
    </row>
    <row r="54" spans="1:90" s="79" customFormat="1">
      <c r="A54" s="79" t="s">
        <v>1486</v>
      </c>
      <c r="B54" s="79" t="s">
        <v>3735</v>
      </c>
      <c r="D54" s="79" t="s">
        <v>688</v>
      </c>
      <c r="E54" s="79" t="s">
        <v>3735</v>
      </c>
      <c r="F54" s="173" t="s">
        <v>1695</v>
      </c>
      <c r="G54" s="79" t="s">
        <v>1819</v>
      </c>
      <c r="H54" s="79" t="s">
        <v>1201</v>
      </c>
      <c r="I54" s="79" t="s">
        <v>1202</v>
      </c>
      <c r="J54" s="79" t="s">
        <v>1203</v>
      </c>
      <c r="K54" s="79" t="s">
        <v>565</v>
      </c>
      <c r="L54" s="79" t="s">
        <v>398</v>
      </c>
      <c r="M54" s="79" t="s">
        <v>399</v>
      </c>
      <c r="N54" s="79" t="s">
        <v>2705</v>
      </c>
      <c r="O54" s="79" t="s">
        <v>106</v>
      </c>
      <c r="P54" s="79">
        <v>4</v>
      </c>
      <c r="Q54" s="79" t="s">
        <v>106</v>
      </c>
      <c r="R54" s="79" t="s">
        <v>2694</v>
      </c>
      <c r="S54" s="79" t="s">
        <v>2712</v>
      </c>
      <c r="T54" s="79" t="s">
        <v>2703</v>
      </c>
      <c r="U54" s="79" t="s">
        <v>401</v>
      </c>
      <c r="AC54" s="79" t="s">
        <v>401</v>
      </c>
      <c r="AD54" s="79">
        <v>117000</v>
      </c>
      <c r="AF54" s="79">
        <v>10000</v>
      </c>
      <c r="AJ54" s="79">
        <v>1</v>
      </c>
      <c r="AK54" s="79">
        <v>1</v>
      </c>
      <c r="AL54" s="79">
        <v>1020</v>
      </c>
      <c r="AM54" s="79" t="s">
        <v>2693</v>
      </c>
      <c r="BK54" s="79" t="s">
        <v>2694</v>
      </c>
      <c r="BL54" s="79" t="s">
        <v>2704</v>
      </c>
      <c r="BM54" s="79" t="s">
        <v>2698</v>
      </c>
      <c r="BN54" s="79" t="s">
        <v>2699</v>
      </c>
      <c r="BO54" s="79" t="s">
        <v>2697</v>
      </c>
      <c r="BP54" s="79" t="s">
        <v>2698</v>
      </c>
      <c r="BQ54" s="79" t="s">
        <v>2693</v>
      </c>
      <c r="BR54" s="79" t="s">
        <v>2693</v>
      </c>
      <c r="BS54" s="79" t="s">
        <v>2699</v>
      </c>
      <c r="BT54" s="79" t="s">
        <v>2696</v>
      </c>
      <c r="BU54" s="79" t="s">
        <v>2699</v>
      </c>
      <c r="BV54" s="79" t="s">
        <v>2696</v>
      </c>
      <c r="BW54" s="79" t="s">
        <v>2695</v>
      </c>
      <c r="BX54" s="79" t="s">
        <v>2696</v>
      </c>
      <c r="BY54" s="79" t="s">
        <v>2696</v>
      </c>
      <c r="BZ54" s="79" t="s">
        <v>2693</v>
      </c>
      <c r="CA54" s="79" t="s">
        <v>2693</v>
      </c>
      <c r="CB54" s="79">
        <v>3</v>
      </c>
      <c r="CC54" s="79" t="s">
        <v>2693</v>
      </c>
      <c r="CD54" s="79" t="s">
        <v>2696</v>
      </c>
      <c r="CF54" s="79" t="s">
        <v>1933</v>
      </c>
      <c r="CG54" s="79" t="s">
        <v>1934</v>
      </c>
      <c r="CH54" s="79" t="s">
        <v>2693</v>
      </c>
      <c r="CI54" s="79" t="s">
        <v>1395</v>
      </c>
      <c r="CJ54" s="79" t="s">
        <v>2701</v>
      </c>
      <c r="CK54" s="145">
        <v>0</v>
      </c>
      <c r="CL54" s="127"/>
    </row>
    <row r="55" spans="1:90">
      <c r="A55" s="83" t="s">
        <v>1529</v>
      </c>
      <c r="B55" s="83" t="s">
        <v>1614</v>
      </c>
      <c r="D55" s="83" t="s">
        <v>688</v>
      </c>
      <c r="E55" s="83" t="s">
        <v>1012</v>
      </c>
      <c r="F55" s="83" t="s">
        <v>1696</v>
      </c>
      <c r="G55" s="83" t="s">
        <v>1820</v>
      </c>
      <c r="H55" s="83" t="s">
        <v>1201</v>
      </c>
      <c r="I55" s="83" t="s">
        <v>1202</v>
      </c>
      <c r="J55" s="83" t="s">
        <v>1203</v>
      </c>
      <c r="K55" s="83" t="s">
        <v>565</v>
      </c>
      <c r="L55" s="83" t="s">
        <v>398</v>
      </c>
      <c r="M55" s="83" t="s">
        <v>399</v>
      </c>
      <c r="N55" s="83" t="s">
        <v>2690</v>
      </c>
      <c r="O55" s="83" t="s">
        <v>106</v>
      </c>
      <c r="P55" s="83">
        <v>4</v>
      </c>
      <c r="Q55" s="83" t="s">
        <v>106</v>
      </c>
      <c r="R55" s="83" t="s">
        <v>2694</v>
      </c>
      <c r="S55" s="83" t="s">
        <v>1455</v>
      </c>
      <c r="T55" s="83" t="s">
        <v>2703</v>
      </c>
      <c r="U55" s="83" t="s">
        <v>401</v>
      </c>
      <c r="AC55" s="83" t="s">
        <v>401</v>
      </c>
      <c r="AD55" s="83">
        <v>116000</v>
      </c>
      <c r="AF55" s="83">
        <v>0</v>
      </c>
      <c r="AJ55" s="83">
        <v>1</v>
      </c>
      <c r="AK55" s="83">
        <v>1</v>
      </c>
      <c r="AL55" s="83">
        <v>1020</v>
      </c>
      <c r="AM55" s="83" t="s">
        <v>2693</v>
      </c>
      <c r="BK55" s="83" t="s">
        <v>2694</v>
      </c>
      <c r="BL55" s="83" t="s">
        <v>2704</v>
      </c>
      <c r="BM55" s="83" t="s">
        <v>2698</v>
      </c>
      <c r="BN55" s="83" t="s">
        <v>2699</v>
      </c>
      <c r="BO55" s="83" t="s">
        <v>2697</v>
      </c>
      <c r="BP55" s="83" t="s">
        <v>2698</v>
      </c>
      <c r="BQ55" s="83" t="s">
        <v>2693</v>
      </c>
      <c r="BR55" s="83" t="s">
        <v>2693</v>
      </c>
      <c r="BS55" s="83" t="s">
        <v>2699</v>
      </c>
      <c r="BT55" s="83" t="s">
        <v>2696</v>
      </c>
      <c r="BU55" s="83" t="s">
        <v>2699</v>
      </c>
      <c r="BV55" s="83" t="s">
        <v>2696</v>
      </c>
      <c r="BW55" s="83" t="s">
        <v>2695</v>
      </c>
      <c r="BX55" s="83" t="s">
        <v>2696</v>
      </c>
      <c r="BY55" s="83" t="s">
        <v>2696</v>
      </c>
      <c r="BZ55" s="83" t="s">
        <v>2693</v>
      </c>
      <c r="CA55" s="83" t="s">
        <v>2693</v>
      </c>
      <c r="CB55" s="83">
        <v>3</v>
      </c>
      <c r="CC55" s="83" t="s">
        <v>2693</v>
      </c>
      <c r="CD55" s="83" t="s">
        <v>2696</v>
      </c>
      <c r="CF55" s="83" t="s">
        <v>1935</v>
      </c>
      <c r="CG55" s="83" t="s">
        <v>1936</v>
      </c>
      <c r="CH55" s="83" t="s">
        <v>2693</v>
      </c>
      <c r="CI55" s="83" t="s">
        <v>1395</v>
      </c>
      <c r="CJ55" s="83" t="s">
        <v>2701</v>
      </c>
      <c r="CK55" s="144">
        <v>0</v>
      </c>
      <c r="CL55"/>
    </row>
    <row r="56" spans="1:90">
      <c r="A56" s="83" t="s">
        <v>1530</v>
      </c>
      <c r="B56" s="83" t="s">
        <v>743</v>
      </c>
      <c r="D56" s="83" t="s">
        <v>688</v>
      </c>
      <c r="E56" s="83" t="s">
        <v>826</v>
      </c>
      <c r="F56" s="83" t="s">
        <v>1697</v>
      </c>
      <c r="G56" s="83" t="s">
        <v>1168</v>
      </c>
      <c r="H56" s="83" t="s">
        <v>1201</v>
      </c>
      <c r="I56" s="83" t="s">
        <v>1202</v>
      </c>
      <c r="J56" s="83" t="s">
        <v>1203</v>
      </c>
      <c r="K56" s="83" t="s">
        <v>565</v>
      </c>
      <c r="L56" s="83" t="s">
        <v>398</v>
      </c>
      <c r="M56" s="83" t="s">
        <v>399</v>
      </c>
      <c r="N56" s="83" t="s">
        <v>2709</v>
      </c>
      <c r="O56" s="83" t="s">
        <v>106</v>
      </c>
      <c r="P56" s="83">
        <v>4</v>
      </c>
      <c r="Q56" s="83" t="s">
        <v>106</v>
      </c>
      <c r="R56" s="83" t="s">
        <v>2694</v>
      </c>
      <c r="S56" s="83" t="s">
        <v>2729</v>
      </c>
      <c r="T56" s="83" t="s">
        <v>2703</v>
      </c>
      <c r="U56" s="83" t="s">
        <v>401</v>
      </c>
      <c r="AC56" s="83" t="s">
        <v>401</v>
      </c>
      <c r="AD56" s="83">
        <v>91000</v>
      </c>
      <c r="AF56" s="83">
        <v>0</v>
      </c>
      <c r="AJ56" s="83">
        <v>1</v>
      </c>
      <c r="AK56" s="83">
        <v>1</v>
      </c>
      <c r="AL56" s="83">
        <v>1020</v>
      </c>
      <c r="AM56" s="83" t="s">
        <v>2693</v>
      </c>
      <c r="BK56" s="83" t="s">
        <v>2694</v>
      </c>
      <c r="BL56" s="83" t="s">
        <v>2704</v>
      </c>
      <c r="BM56" s="83" t="s">
        <v>2698</v>
      </c>
      <c r="BN56" s="83" t="s">
        <v>2699</v>
      </c>
      <c r="BO56" s="83" t="s">
        <v>2697</v>
      </c>
      <c r="BP56" s="83" t="s">
        <v>2698</v>
      </c>
      <c r="BQ56" s="83" t="s">
        <v>2693</v>
      </c>
      <c r="BR56" s="83" t="s">
        <v>2693</v>
      </c>
      <c r="BS56" s="83" t="s">
        <v>2699</v>
      </c>
      <c r="BT56" s="83" t="s">
        <v>2696</v>
      </c>
      <c r="BU56" s="83" t="s">
        <v>2699</v>
      </c>
      <c r="BV56" s="83" t="s">
        <v>2696</v>
      </c>
      <c r="BW56" s="83" t="s">
        <v>2695</v>
      </c>
      <c r="BX56" s="83" t="s">
        <v>2696</v>
      </c>
      <c r="BY56" s="83" t="s">
        <v>2696</v>
      </c>
      <c r="BZ56" s="83" t="s">
        <v>2693</v>
      </c>
      <c r="CA56" s="83" t="s">
        <v>2693</v>
      </c>
      <c r="CB56" s="83">
        <v>9</v>
      </c>
      <c r="CC56" s="83" t="s">
        <v>2693</v>
      </c>
      <c r="CD56" s="83" t="s">
        <v>2696</v>
      </c>
      <c r="CF56" s="83" t="s">
        <v>1937</v>
      </c>
      <c r="CG56" s="83" t="s">
        <v>1938</v>
      </c>
      <c r="CH56" s="83" t="s">
        <v>2693</v>
      </c>
      <c r="CI56" s="83" t="s">
        <v>1395</v>
      </c>
      <c r="CJ56" s="83" t="s">
        <v>2701</v>
      </c>
      <c r="CK56" s="144">
        <v>0</v>
      </c>
      <c r="CL56"/>
    </row>
    <row r="57" spans="1:90">
      <c r="A57" s="83" t="s">
        <v>2626</v>
      </c>
      <c r="B57" s="83" t="s">
        <v>997</v>
      </c>
      <c r="D57" s="83" t="s">
        <v>688</v>
      </c>
      <c r="E57" s="83" t="s">
        <v>2627</v>
      </c>
      <c r="F57" s="83" t="s">
        <v>3314</v>
      </c>
      <c r="G57" s="83" t="s">
        <v>2330</v>
      </c>
      <c r="H57" s="83" t="s">
        <v>1201</v>
      </c>
      <c r="I57" s="83" t="s">
        <v>1202</v>
      </c>
      <c r="J57" s="83" t="s">
        <v>1203</v>
      </c>
      <c r="K57" s="83" t="s">
        <v>565</v>
      </c>
      <c r="L57" s="83" t="s">
        <v>398</v>
      </c>
      <c r="M57" s="83" t="s">
        <v>399</v>
      </c>
      <c r="N57" s="83" t="s">
        <v>3277</v>
      </c>
      <c r="O57" s="83" t="s">
        <v>106</v>
      </c>
      <c r="P57" s="83">
        <v>4</v>
      </c>
      <c r="Q57" s="83" t="s">
        <v>106</v>
      </c>
      <c r="R57" s="83" t="s">
        <v>2694</v>
      </c>
      <c r="S57" s="83" t="s">
        <v>2702</v>
      </c>
      <c r="T57" s="83" t="s">
        <v>2843</v>
      </c>
      <c r="U57" s="83" t="s">
        <v>401</v>
      </c>
      <c r="AC57" s="83" t="s">
        <v>401</v>
      </c>
      <c r="AD57" s="83">
        <v>766000</v>
      </c>
      <c r="AF57" s="83">
        <v>64000</v>
      </c>
      <c r="AJ57" s="83">
        <v>1</v>
      </c>
      <c r="AK57" s="83">
        <v>1</v>
      </c>
      <c r="AL57" s="83">
        <v>6438</v>
      </c>
      <c r="AM57" s="83" t="s">
        <v>2693</v>
      </c>
      <c r="BK57" s="83" t="s">
        <v>2694</v>
      </c>
      <c r="BL57" s="83" t="s">
        <v>2704</v>
      </c>
      <c r="BM57" s="83" t="s">
        <v>2697</v>
      </c>
      <c r="BN57" s="83" t="s">
        <v>2698</v>
      </c>
      <c r="BO57" s="83" t="s">
        <v>2697</v>
      </c>
      <c r="BP57" s="83" t="s">
        <v>2698</v>
      </c>
      <c r="BQ57" s="83" t="s">
        <v>2699</v>
      </c>
      <c r="BR57" s="83" t="s">
        <v>2693</v>
      </c>
      <c r="BS57" s="83" t="s">
        <v>2699</v>
      </c>
      <c r="BT57" s="83" t="s">
        <v>2696</v>
      </c>
      <c r="BU57" s="83" t="s">
        <v>2699</v>
      </c>
      <c r="BV57" s="83" t="s">
        <v>2696</v>
      </c>
      <c r="BW57" s="83" t="s">
        <v>2698</v>
      </c>
      <c r="BX57" s="83" t="s">
        <v>2696</v>
      </c>
      <c r="BY57" s="83" t="s">
        <v>2699</v>
      </c>
      <c r="BZ57" s="83" t="s">
        <v>2693</v>
      </c>
      <c r="CA57" s="83" t="s">
        <v>2693</v>
      </c>
      <c r="CB57" s="83" t="s">
        <v>2694</v>
      </c>
      <c r="CC57" s="83" t="s">
        <v>2699</v>
      </c>
      <c r="CD57" s="83" t="s">
        <v>2699</v>
      </c>
      <c r="CF57" s="83" t="s">
        <v>3315</v>
      </c>
      <c r="CG57" s="83" t="s">
        <v>3316</v>
      </c>
      <c r="CH57" s="83" t="s">
        <v>2693</v>
      </c>
      <c r="CI57" s="83" t="s">
        <v>3992</v>
      </c>
      <c r="CJ57" s="83" t="s">
        <v>2701</v>
      </c>
      <c r="CK57" s="144">
        <v>1</v>
      </c>
      <c r="CL57" s="99">
        <v>25000</v>
      </c>
    </row>
    <row r="58" spans="1:90">
      <c r="A58" s="83" t="s">
        <v>1482</v>
      </c>
      <c r="B58" s="83" t="s">
        <v>3736</v>
      </c>
      <c r="D58" s="83" t="s">
        <v>688</v>
      </c>
      <c r="E58" s="83" t="s">
        <v>2728</v>
      </c>
      <c r="F58" s="83" t="s">
        <v>3737</v>
      </c>
      <c r="G58" s="83" t="s">
        <v>1821</v>
      </c>
      <c r="H58" s="83" t="s">
        <v>1201</v>
      </c>
      <c r="I58" s="83" t="s">
        <v>1202</v>
      </c>
      <c r="J58" s="83" t="s">
        <v>1203</v>
      </c>
      <c r="K58" s="83" t="s">
        <v>565</v>
      </c>
      <c r="L58" s="83" t="s">
        <v>398</v>
      </c>
      <c r="M58" s="83" t="s">
        <v>399</v>
      </c>
      <c r="N58" s="83" t="s">
        <v>2719</v>
      </c>
      <c r="O58" s="83" t="s">
        <v>106</v>
      </c>
      <c r="P58" s="83">
        <v>4</v>
      </c>
      <c r="Q58" s="83" t="s">
        <v>106</v>
      </c>
      <c r="R58" s="83" t="s">
        <v>2694</v>
      </c>
      <c r="S58" s="83" t="s">
        <v>2712</v>
      </c>
      <c r="T58" s="83" t="s">
        <v>2703</v>
      </c>
      <c r="U58" s="83" t="s">
        <v>401</v>
      </c>
      <c r="AC58" s="83" t="s">
        <v>401</v>
      </c>
      <c r="AD58" s="83">
        <v>240000</v>
      </c>
      <c r="AF58" s="83">
        <v>0</v>
      </c>
      <c r="AJ58" s="83">
        <v>1</v>
      </c>
      <c r="AK58" s="83">
        <v>1</v>
      </c>
      <c r="AL58" s="83">
        <v>2898</v>
      </c>
      <c r="AM58" s="83" t="s">
        <v>2693</v>
      </c>
      <c r="BK58" s="83" t="s">
        <v>2694</v>
      </c>
      <c r="BL58" s="83" t="s">
        <v>2704</v>
      </c>
      <c r="BM58" s="83" t="s">
        <v>2697</v>
      </c>
      <c r="BN58" s="83" t="s">
        <v>2697</v>
      </c>
      <c r="BO58" s="83" t="s">
        <v>2697</v>
      </c>
      <c r="BP58" s="83" t="s">
        <v>2695</v>
      </c>
      <c r="BQ58" s="83" t="s">
        <v>2693</v>
      </c>
      <c r="BR58" s="83" t="s">
        <v>2693</v>
      </c>
      <c r="BS58" s="83" t="s">
        <v>2699</v>
      </c>
      <c r="BT58" s="83">
        <v>0</v>
      </c>
      <c r="BU58" s="83" t="s">
        <v>2699</v>
      </c>
      <c r="BV58" s="83" t="s">
        <v>2696</v>
      </c>
      <c r="BW58" s="83" t="s">
        <v>2698</v>
      </c>
      <c r="BX58" s="83" t="s">
        <v>2696</v>
      </c>
      <c r="BY58" s="83" t="s">
        <v>2699</v>
      </c>
      <c r="BZ58" s="83" t="s">
        <v>2699</v>
      </c>
      <c r="CA58" s="83" t="s">
        <v>2693</v>
      </c>
      <c r="CB58" s="83">
        <v>9</v>
      </c>
      <c r="CC58" s="83" t="s">
        <v>2699</v>
      </c>
      <c r="CD58" s="83" t="s">
        <v>2696</v>
      </c>
      <c r="CF58" s="83" t="s">
        <v>2156</v>
      </c>
      <c r="CG58" s="83" t="s">
        <v>2157</v>
      </c>
      <c r="CH58" s="83" t="s">
        <v>2693</v>
      </c>
      <c r="CI58" s="83" t="s">
        <v>3992</v>
      </c>
      <c r="CJ58" s="83" t="s">
        <v>2701</v>
      </c>
      <c r="CK58" s="144">
        <v>0</v>
      </c>
      <c r="CL58"/>
    </row>
    <row r="59" spans="1:90">
      <c r="A59" s="83" t="s">
        <v>2517</v>
      </c>
      <c r="B59" s="83" t="s">
        <v>2948</v>
      </c>
      <c r="D59" s="83" t="s">
        <v>688</v>
      </c>
      <c r="E59" s="83" t="s">
        <v>2518</v>
      </c>
      <c r="F59" s="83" t="s">
        <v>2949</v>
      </c>
      <c r="G59" s="83" t="s">
        <v>2274</v>
      </c>
      <c r="H59" s="83" t="s">
        <v>1201</v>
      </c>
      <c r="I59" s="83" t="s">
        <v>1202</v>
      </c>
      <c r="J59" s="83" t="s">
        <v>1203</v>
      </c>
      <c r="K59" s="83" t="s">
        <v>565</v>
      </c>
      <c r="L59" s="83" t="s">
        <v>398</v>
      </c>
      <c r="M59" s="83" t="s">
        <v>399</v>
      </c>
      <c r="N59" s="83" t="s">
        <v>2899</v>
      </c>
      <c r="O59" s="83" t="s">
        <v>106</v>
      </c>
      <c r="P59" s="83">
        <v>4</v>
      </c>
      <c r="Q59" s="83" t="s">
        <v>106</v>
      </c>
      <c r="R59" s="83" t="s">
        <v>2694</v>
      </c>
      <c r="S59" s="83" t="s">
        <v>2772</v>
      </c>
      <c r="T59" s="83" t="s">
        <v>2843</v>
      </c>
      <c r="U59" s="83" t="s">
        <v>401</v>
      </c>
      <c r="AC59" s="83" t="s">
        <v>401</v>
      </c>
      <c r="AD59" s="83">
        <v>308000</v>
      </c>
      <c r="AF59" s="83">
        <v>0</v>
      </c>
      <c r="AJ59" s="83">
        <v>1</v>
      </c>
      <c r="AK59" s="83">
        <v>1</v>
      </c>
      <c r="AL59" s="83">
        <v>2603</v>
      </c>
      <c r="AM59" s="83" t="s">
        <v>2693</v>
      </c>
      <c r="BK59" s="83" t="s">
        <v>2694</v>
      </c>
      <c r="BL59" s="83" t="s">
        <v>2704</v>
      </c>
      <c r="BM59" s="83" t="s">
        <v>2697</v>
      </c>
      <c r="BN59" s="83" t="s">
        <v>2698</v>
      </c>
      <c r="BO59" s="83" t="s">
        <v>2697</v>
      </c>
      <c r="BP59" s="83" t="s">
        <v>2698</v>
      </c>
      <c r="BQ59" s="83" t="s">
        <v>2699</v>
      </c>
      <c r="BR59" s="83" t="s">
        <v>2693</v>
      </c>
      <c r="BS59" s="83" t="s">
        <v>2699</v>
      </c>
      <c r="BT59" s="83" t="s">
        <v>2696</v>
      </c>
      <c r="BU59" s="83" t="s">
        <v>2699</v>
      </c>
      <c r="BV59" s="83" t="s">
        <v>2696</v>
      </c>
      <c r="BW59" s="83" t="s">
        <v>2698</v>
      </c>
      <c r="BX59" s="83" t="s">
        <v>2696</v>
      </c>
      <c r="BY59" s="83" t="s">
        <v>2699</v>
      </c>
      <c r="BZ59" s="83" t="s">
        <v>2693</v>
      </c>
      <c r="CA59" s="83" t="s">
        <v>2693</v>
      </c>
      <c r="CB59" s="83" t="s">
        <v>2694</v>
      </c>
      <c r="CC59" s="83" t="s">
        <v>2699</v>
      </c>
      <c r="CD59" s="83" t="s">
        <v>2696</v>
      </c>
      <c r="CF59" s="83" t="s">
        <v>2950</v>
      </c>
      <c r="CG59" s="83" t="s">
        <v>2951</v>
      </c>
      <c r="CH59" s="83" t="s">
        <v>2693</v>
      </c>
      <c r="CI59" s="83" t="s">
        <v>3992</v>
      </c>
      <c r="CJ59" s="83" t="s">
        <v>2701</v>
      </c>
      <c r="CK59" s="144">
        <v>0</v>
      </c>
      <c r="CL59"/>
    </row>
    <row r="60" spans="1:90">
      <c r="A60" s="83" t="s">
        <v>2483</v>
      </c>
      <c r="B60" s="83" t="s">
        <v>706</v>
      </c>
      <c r="D60" s="83" t="s">
        <v>688</v>
      </c>
      <c r="E60" s="83" t="s">
        <v>2518</v>
      </c>
      <c r="F60" s="83" t="s">
        <v>2866</v>
      </c>
      <c r="G60" s="83" t="s">
        <v>2266</v>
      </c>
      <c r="H60" s="83" t="s">
        <v>1201</v>
      </c>
      <c r="I60" s="83" t="s">
        <v>1202</v>
      </c>
      <c r="J60" s="83" t="s">
        <v>1203</v>
      </c>
      <c r="K60" s="83" t="s">
        <v>565</v>
      </c>
      <c r="L60" s="83" t="s">
        <v>398</v>
      </c>
      <c r="M60" s="83" t="s">
        <v>399</v>
      </c>
      <c r="N60" s="83" t="s">
        <v>2690</v>
      </c>
      <c r="O60" s="83" t="s">
        <v>106</v>
      </c>
      <c r="P60" s="83">
        <v>4</v>
      </c>
      <c r="Q60" s="83" t="s">
        <v>106</v>
      </c>
      <c r="R60" s="83" t="s">
        <v>2694</v>
      </c>
      <c r="S60" s="83" t="s">
        <v>1450</v>
      </c>
      <c r="T60" s="83" t="s">
        <v>2843</v>
      </c>
      <c r="U60" s="83" t="s">
        <v>401</v>
      </c>
      <c r="AC60" s="83" t="s">
        <v>401</v>
      </c>
      <c r="AD60" s="83">
        <v>329000</v>
      </c>
      <c r="AF60" s="83">
        <v>0</v>
      </c>
      <c r="AJ60" s="83">
        <v>1</v>
      </c>
      <c r="AK60" s="83">
        <v>1</v>
      </c>
      <c r="AL60" s="83">
        <v>2780</v>
      </c>
      <c r="AM60" s="83" t="s">
        <v>2693</v>
      </c>
      <c r="BK60" s="83" t="s">
        <v>2694</v>
      </c>
      <c r="BL60" s="83" t="s">
        <v>2704</v>
      </c>
      <c r="BM60" s="83" t="s">
        <v>2697</v>
      </c>
      <c r="BN60" s="83" t="s">
        <v>2698</v>
      </c>
      <c r="BO60" s="83" t="s">
        <v>2697</v>
      </c>
      <c r="BP60" s="83" t="s">
        <v>2698</v>
      </c>
      <c r="BQ60" s="83" t="s">
        <v>2699</v>
      </c>
      <c r="BR60" s="83" t="s">
        <v>2693</v>
      </c>
      <c r="BS60" s="83" t="s">
        <v>2699</v>
      </c>
      <c r="BT60" s="83" t="s">
        <v>2696</v>
      </c>
      <c r="BU60" s="83" t="s">
        <v>2699</v>
      </c>
      <c r="BV60" s="83" t="s">
        <v>2696</v>
      </c>
      <c r="BW60" s="83" t="s">
        <v>2698</v>
      </c>
      <c r="BX60" s="83" t="s">
        <v>2693</v>
      </c>
      <c r="BY60" s="83" t="s">
        <v>2699</v>
      </c>
      <c r="BZ60" s="83" t="s">
        <v>2693</v>
      </c>
      <c r="CA60" s="83" t="s">
        <v>2693</v>
      </c>
      <c r="CB60" s="83" t="s">
        <v>2696</v>
      </c>
      <c r="CC60" s="83" t="s">
        <v>2699</v>
      </c>
      <c r="CD60" s="83" t="s">
        <v>2696</v>
      </c>
      <c r="CF60" s="83" t="s">
        <v>2867</v>
      </c>
      <c r="CG60" s="83" t="s">
        <v>2868</v>
      </c>
      <c r="CH60" s="83" t="s">
        <v>2693</v>
      </c>
      <c r="CI60" s="83" t="s">
        <v>1395</v>
      </c>
      <c r="CJ60" s="83" t="s">
        <v>2701</v>
      </c>
      <c r="CK60" s="144">
        <v>0</v>
      </c>
      <c r="CL60" s="99">
        <v>26000</v>
      </c>
    </row>
    <row r="61" spans="1:90">
      <c r="A61" s="83" t="s">
        <v>1503</v>
      </c>
      <c r="B61" s="83" t="s">
        <v>3738</v>
      </c>
      <c r="D61" s="83" t="s">
        <v>688</v>
      </c>
      <c r="E61" s="83" t="s">
        <v>1668</v>
      </c>
      <c r="F61" s="83" t="s">
        <v>1698</v>
      </c>
      <c r="G61" s="83" t="s">
        <v>1822</v>
      </c>
      <c r="H61" s="83" t="s">
        <v>1201</v>
      </c>
      <c r="I61" s="83" t="s">
        <v>1202</v>
      </c>
      <c r="J61" s="83" t="s">
        <v>1203</v>
      </c>
      <c r="K61" s="83" t="s">
        <v>565</v>
      </c>
      <c r="L61" s="83" t="s">
        <v>398</v>
      </c>
      <c r="M61" s="83" t="s">
        <v>399</v>
      </c>
      <c r="N61" s="83" t="s">
        <v>2792</v>
      </c>
      <c r="O61" s="83" t="s">
        <v>106</v>
      </c>
      <c r="P61" s="83">
        <v>8</v>
      </c>
      <c r="Q61" s="83" t="s">
        <v>106</v>
      </c>
      <c r="R61" s="83" t="s">
        <v>2799</v>
      </c>
      <c r="S61" s="83" t="s">
        <v>2741</v>
      </c>
      <c r="T61" s="83" t="s">
        <v>2703</v>
      </c>
      <c r="U61" s="83" t="s">
        <v>401</v>
      </c>
      <c r="AC61" s="83" t="s">
        <v>401</v>
      </c>
      <c r="AD61" s="83">
        <v>425000</v>
      </c>
      <c r="AF61" s="83">
        <v>0</v>
      </c>
      <c r="AJ61" s="83">
        <v>1</v>
      </c>
      <c r="AK61" s="83">
        <v>1</v>
      </c>
      <c r="AL61" s="83">
        <v>3072</v>
      </c>
      <c r="AM61" s="83" t="s">
        <v>2693</v>
      </c>
      <c r="BK61" s="83" t="s">
        <v>2694</v>
      </c>
      <c r="BL61" s="83" t="s">
        <v>2695</v>
      </c>
      <c r="BM61" s="83" t="s">
        <v>2693</v>
      </c>
      <c r="BN61" s="83" t="s">
        <v>2698</v>
      </c>
      <c r="BO61" s="83" t="s">
        <v>2697</v>
      </c>
      <c r="BP61" s="83" t="s">
        <v>2697</v>
      </c>
      <c r="BQ61" s="83" t="s">
        <v>2699</v>
      </c>
      <c r="BR61" s="83" t="s">
        <v>2693</v>
      </c>
      <c r="BS61" s="83" t="s">
        <v>2699</v>
      </c>
      <c r="BT61" s="83" t="s">
        <v>2696</v>
      </c>
      <c r="BU61" s="83" t="s">
        <v>2699</v>
      </c>
      <c r="BV61" s="83" t="s">
        <v>2696</v>
      </c>
      <c r="BW61" s="83" t="s">
        <v>2695</v>
      </c>
      <c r="BX61" s="83" t="s">
        <v>2696</v>
      </c>
      <c r="BY61" s="83" t="s">
        <v>2699</v>
      </c>
      <c r="BZ61" s="83" t="s">
        <v>2693</v>
      </c>
      <c r="CA61" s="83" t="s">
        <v>2693</v>
      </c>
      <c r="CB61" s="83">
        <v>9</v>
      </c>
      <c r="CC61" s="83" t="s">
        <v>2699</v>
      </c>
      <c r="CD61" s="83" t="s">
        <v>2699</v>
      </c>
      <c r="CF61" s="83" t="s">
        <v>1939</v>
      </c>
      <c r="CG61" s="83" t="s">
        <v>1940</v>
      </c>
      <c r="CH61" s="83" t="s">
        <v>2695</v>
      </c>
      <c r="CI61" s="83" t="s">
        <v>648</v>
      </c>
      <c r="CJ61" s="83" t="s">
        <v>2726</v>
      </c>
      <c r="CK61" s="144">
        <v>0</v>
      </c>
      <c r="CL61"/>
    </row>
    <row r="62" spans="1:90">
      <c r="A62" s="83" t="s">
        <v>1500</v>
      </c>
      <c r="B62" s="83" t="s">
        <v>712</v>
      </c>
      <c r="D62" s="83" t="s">
        <v>688</v>
      </c>
      <c r="E62" s="83" t="s">
        <v>2423</v>
      </c>
      <c r="F62" s="83" t="s">
        <v>1699</v>
      </c>
      <c r="G62" s="83" t="s">
        <v>1823</v>
      </c>
      <c r="H62" s="83" t="s">
        <v>1201</v>
      </c>
      <c r="I62" s="83" t="s">
        <v>1202</v>
      </c>
      <c r="J62" s="83" t="s">
        <v>1203</v>
      </c>
      <c r="K62" s="83" t="s">
        <v>565</v>
      </c>
      <c r="L62" s="83" t="s">
        <v>398</v>
      </c>
      <c r="M62" s="83" t="s">
        <v>399</v>
      </c>
      <c r="N62" s="83" t="s">
        <v>2690</v>
      </c>
      <c r="O62" s="83" t="s">
        <v>106</v>
      </c>
      <c r="P62" s="83">
        <v>4</v>
      </c>
      <c r="Q62" s="83" t="s">
        <v>106</v>
      </c>
      <c r="R62" s="83" t="s">
        <v>2730</v>
      </c>
      <c r="S62" s="83" t="s">
        <v>2797</v>
      </c>
      <c r="T62" s="83" t="s">
        <v>2703</v>
      </c>
      <c r="U62" s="83" t="s">
        <v>401</v>
      </c>
      <c r="AC62" s="83" t="s">
        <v>401</v>
      </c>
      <c r="AD62" s="83">
        <v>29000</v>
      </c>
      <c r="AF62" s="83">
        <v>0</v>
      </c>
      <c r="AJ62" s="83">
        <v>1</v>
      </c>
      <c r="AK62" s="83">
        <v>1</v>
      </c>
      <c r="AL62" s="83">
        <v>540</v>
      </c>
      <c r="AM62" s="83" t="s">
        <v>2693</v>
      </c>
      <c r="BK62" s="83" t="s">
        <v>2696</v>
      </c>
      <c r="BL62" s="83" t="s">
        <v>2704</v>
      </c>
      <c r="BM62" s="83" t="s">
        <v>2697</v>
      </c>
      <c r="BN62" s="83" t="s">
        <v>2699</v>
      </c>
      <c r="BO62" s="83" t="s">
        <v>2697</v>
      </c>
      <c r="BP62" s="83" t="s">
        <v>2698</v>
      </c>
      <c r="BQ62" s="83" t="s">
        <v>2693</v>
      </c>
      <c r="BR62" s="83" t="s">
        <v>2693</v>
      </c>
      <c r="BS62" s="83" t="s">
        <v>2699</v>
      </c>
      <c r="BT62" s="83" t="s">
        <v>2696</v>
      </c>
      <c r="BU62" s="83" t="s">
        <v>2699</v>
      </c>
      <c r="BV62" s="83" t="s">
        <v>2696</v>
      </c>
      <c r="BW62" s="83" t="s">
        <v>2695</v>
      </c>
      <c r="BX62" s="83" t="s">
        <v>2696</v>
      </c>
      <c r="BY62" s="83" t="s">
        <v>2696</v>
      </c>
      <c r="BZ62" s="83" t="s">
        <v>2699</v>
      </c>
      <c r="CA62" s="83" t="s">
        <v>2693</v>
      </c>
      <c r="CB62" s="83">
        <v>9</v>
      </c>
      <c r="CC62" s="83" t="s">
        <v>2696</v>
      </c>
      <c r="CD62" s="83" t="s">
        <v>2696</v>
      </c>
      <c r="CF62" s="83" t="s">
        <v>1941</v>
      </c>
      <c r="CG62" s="83" t="s">
        <v>1942</v>
      </c>
      <c r="CH62" s="83" t="s">
        <v>2693</v>
      </c>
      <c r="CI62" s="83" t="s">
        <v>1395</v>
      </c>
      <c r="CJ62" s="83" t="s">
        <v>2701</v>
      </c>
      <c r="CK62" s="144">
        <v>0</v>
      </c>
      <c r="CL62"/>
    </row>
    <row r="63" spans="1:90">
      <c r="A63" s="83" t="s">
        <v>2523</v>
      </c>
      <c r="B63" s="83" t="s">
        <v>731</v>
      </c>
      <c r="D63" s="83" t="s">
        <v>688</v>
      </c>
      <c r="E63" s="83" t="s">
        <v>674</v>
      </c>
      <c r="F63" s="83" t="s">
        <v>2961</v>
      </c>
      <c r="G63" s="83" t="s">
        <v>2278</v>
      </c>
      <c r="H63" s="83" t="s">
        <v>1201</v>
      </c>
      <c r="I63" s="83" t="s">
        <v>1202</v>
      </c>
      <c r="J63" s="83" t="s">
        <v>1203</v>
      </c>
      <c r="K63" s="83" t="s">
        <v>565</v>
      </c>
      <c r="L63" s="83" t="s">
        <v>398</v>
      </c>
      <c r="M63" s="83" t="s">
        <v>399</v>
      </c>
      <c r="N63" s="83" t="s">
        <v>2899</v>
      </c>
      <c r="O63" s="83" t="s">
        <v>106</v>
      </c>
      <c r="P63" s="83">
        <v>4</v>
      </c>
      <c r="Q63" s="83" t="s">
        <v>106</v>
      </c>
      <c r="R63" s="83" t="s">
        <v>2727</v>
      </c>
      <c r="S63" s="83" t="s">
        <v>1454</v>
      </c>
      <c r="T63" s="83" t="s">
        <v>2843</v>
      </c>
      <c r="U63" s="83" t="s">
        <v>401</v>
      </c>
      <c r="AC63" s="83" t="s">
        <v>401</v>
      </c>
      <c r="AD63" s="83">
        <v>65000</v>
      </c>
      <c r="AF63" s="83">
        <v>31000</v>
      </c>
      <c r="AJ63" s="83">
        <v>1</v>
      </c>
      <c r="AK63" s="83">
        <v>1</v>
      </c>
      <c r="AL63" s="83">
        <v>1210</v>
      </c>
      <c r="AM63" s="83" t="s">
        <v>2693</v>
      </c>
      <c r="BK63" s="83" t="s">
        <v>2694</v>
      </c>
      <c r="BL63" s="83" t="s">
        <v>2704</v>
      </c>
      <c r="BM63" s="83" t="s">
        <v>2698</v>
      </c>
      <c r="BN63" s="83" t="s">
        <v>2698</v>
      </c>
      <c r="BO63" s="83" t="s">
        <v>2697</v>
      </c>
      <c r="BP63" s="83" t="s">
        <v>2698</v>
      </c>
      <c r="BQ63" s="83" t="s">
        <v>2699</v>
      </c>
      <c r="BR63" s="83" t="s">
        <v>2693</v>
      </c>
      <c r="BS63" s="83" t="s">
        <v>2699</v>
      </c>
      <c r="BT63" s="83" t="s">
        <v>2696</v>
      </c>
      <c r="BU63" s="83" t="s">
        <v>2699</v>
      </c>
      <c r="BV63" s="83" t="s">
        <v>2696</v>
      </c>
      <c r="BW63" s="83" t="s">
        <v>2698</v>
      </c>
      <c r="BX63" s="83" t="s">
        <v>2696</v>
      </c>
      <c r="BY63" s="83" t="s">
        <v>2699</v>
      </c>
      <c r="BZ63" s="83" t="s">
        <v>2693</v>
      </c>
      <c r="CA63" s="83" t="s">
        <v>2693</v>
      </c>
      <c r="CB63" s="83" t="s">
        <v>2694</v>
      </c>
      <c r="CC63" s="83" t="s">
        <v>2699</v>
      </c>
      <c r="CD63" s="83" t="s">
        <v>2696</v>
      </c>
      <c r="CF63" s="83" t="s">
        <v>2962</v>
      </c>
      <c r="CG63" s="83" t="s">
        <v>2963</v>
      </c>
      <c r="CH63" s="83" t="s">
        <v>2693</v>
      </c>
      <c r="CI63" s="83" t="s">
        <v>3992</v>
      </c>
      <c r="CJ63" s="83" t="s">
        <v>2701</v>
      </c>
      <c r="CK63" s="144">
        <v>1</v>
      </c>
      <c r="CL63"/>
    </row>
    <row r="64" spans="1:90">
      <c r="A64" s="83" t="s">
        <v>2495</v>
      </c>
      <c r="B64" s="83" t="s">
        <v>719</v>
      </c>
      <c r="D64" s="83" t="s">
        <v>688</v>
      </c>
      <c r="E64" s="83" t="s">
        <v>719</v>
      </c>
      <c r="F64" s="83" t="s">
        <v>2892</v>
      </c>
      <c r="G64" s="83" t="s">
        <v>2268</v>
      </c>
      <c r="H64" s="83" t="s">
        <v>1201</v>
      </c>
      <c r="I64" s="83" t="s">
        <v>1202</v>
      </c>
      <c r="J64" s="83" t="s">
        <v>1203</v>
      </c>
      <c r="K64" s="83" t="s">
        <v>565</v>
      </c>
      <c r="L64" s="83" t="s">
        <v>398</v>
      </c>
      <c r="M64" s="83" t="s">
        <v>399</v>
      </c>
      <c r="N64" s="83" t="s">
        <v>2690</v>
      </c>
      <c r="O64" s="83" t="s">
        <v>106</v>
      </c>
      <c r="P64" s="83">
        <v>4</v>
      </c>
      <c r="Q64" s="83" t="s">
        <v>106</v>
      </c>
      <c r="R64" s="83" t="s">
        <v>2730</v>
      </c>
      <c r="S64" s="83" t="s">
        <v>2893</v>
      </c>
      <c r="T64" s="83" t="s">
        <v>2843</v>
      </c>
      <c r="U64" s="83" t="s">
        <v>401</v>
      </c>
      <c r="AC64" s="83" t="s">
        <v>401</v>
      </c>
      <c r="AD64" s="83">
        <v>1757000</v>
      </c>
      <c r="AF64" s="83">
        <v>537000</v>
      </c>
      <c r="AJ64" s="83">
        <v>1</v>
      </c>
      <c r="AK64" s="83">
        <v>2</v>
      </c>
      <c r="AL64" s="83">
        <v>12676</v>
      </c>
      <c r="AM64" s="83" t="s">
        <v>2693</v>
      </c>
      <c r="BK64" s="83" t="s">
        <v>2694</v>
      </c>
      <c r="BL64" s="83" t="s">
        <v>2697</v>
      </c>
      <c r="BM64" s="83" t="s">
        <v>2698</v>
      </c>
      <c r="BN64" s="83" t="s">
        <v>2698</v>
      </c>
      <c r="BO64" s="83" t="s">
        <v>2697</v>
      </c>
      <c r="BP64" s="83" t="s">
        <v>2697</v>
      </c>
      <c r="BQ64" s="83" t="s">
        <v>2699</v>
      </c>
      <c r="BR64" s="83" t="s">
        <v>2693</v>
      </c>
      <c r="BS64" s="83" t="s">
        <v>2699</v>
      </c>
      <c r="BT64" s="83" t="s">
        <v>2696</v>
      </c>
      <c r="BU64" s="83" t="s">
        <v>2699</v>
      </c>
      <c r="BV64" s="83" t="s">
        <v>2696</v>
      </c>
      <c r="BW64" s="83" t="s">
        <v>2698</v>
      </c>
      <c r="BX64" s="83" t="s">
        <v>2696</v>
      </c>
      <c r="BY64" s="83" t="s">
        <v>2699</v>
      </c>
      <c r="BZ64" s="83" t="s">
        <v>2693</v>
      </c>
      <c r="CA64" s="83" t="s">
        <v>2693</v>
      </c>
      <c r="CB64" s="83" t="s">
        <v>2694</v>
      </c>
      <c r="CC64" s="83" t="s">
        <v>2699</v>
      </c>
      <c r="CD64" s="83" t="s">
        <v>2696</v>
      </c>
      <c r="CF64" s="83" t="s">
        <v>2894</v>
      </c>
      <c r="CG64" s="83" t="s">
        <v>2895</v>
      </c>
      <c r="CH64" s="83" t="s">
        <v>2693</v>
      </c>
      <c r="CI64" s="83" t="s">
        <v>3992</v>
      </c>
      <c r="CJ64" s="83" t="s">
        <v>2701</v>
      </c>
      <c r="CK64" s="144">
        <v>0</v>
      </c>
      <c r="CL64" s="99">
        <v>24000</v>
      </c>
    </row>
    <row r="65" spans="1:90">
      <c r="A65" s="83" t="s">
        <v>2558</v>
      </c>
      <c r="B65" s="83" t="s">
        <v>737</v>
      </c>
      <c r="D65" s="83" t="s">
        <v>688</v>
      </c>
      <c r="E65" s="83" t="s">
        <v>2559</v>
      </c>
      <c r="F65" s="83" t="s">
        <v>3031</v>
      </c>
      <c r="G65" s="83" t="s">
        <v>2290</v>
      </c>
      <c r="H65" s="83" t="s">
        <v>1201</v>
      </c>
      <c r="I65" s="83" t="s">
        <v>1202</v>
      </c>
      <c r="J65" s="83" t="s">
        <v>1203</v>
      </c>
      <c r="K65" s="83" t="s">
        <v>565</v>
      </c>
      <c r="L65" s="83" t="s">
        <v>398</v>
      </c>
      <c r="M65" s="83" t="s">
        <v>399</v>
      </c>
      <c r="N65" s="83" t="s">
        <v>3001</v>
      </c>
      <c r="O65" s="83" t="s">
        <v>106</v>
      </c>
      <c r="P65" s="83">
        <v>8</v>
      </c>
      <c r="Q65" s="83" t="s">
        <v>106</v>
      </c>
      <c r="R65" s="83" t="s">
        <v>2730</v>
      </c>
      <c r="S65" s="83" t="s">
        <v>1463</v>
      </c>
      <c r="T65" s="83" t="s">
        <v>2843</v>
      </c>
      <c r="U65" s="83" t="s">
        <v>401</v>
      </c>
      <c r="AC65" s="83" t="s">
        <v>401</v>
      </c>
      <c r="AD65" s="83">
        <v>2917000</v>
      </c>
      <c r="AF65" s="83">
        <v>798000</v>
      </c>
      <c r="AJ65" s="83">
        <v>1</v>
      </c>
      <c r="AK65" s="83">
        <v>1</v>
      </c>
      <c r="AL65" s="83">
        <v>18836</v>
      </c>
      <c r="AM65" s="83" t="s">
        <v>2693</v>
      </c>
      <c r="BK65" s="83" t="s">
        <v>2694</v>
      </c>
      <c r="BL65" s="83" t="s">
        <v>2697</v>
      </c>
      <c r="BM65" s="83" t="s">
        <v>2693</v>
      </c>
      <c r="BN65" s="83" t="s">
        <v>2698</v>
      </c>
      <c r="BO65" s="83" t="s">
        <v>2697</v>
      </c>
      <c r="BP65" s="83" t="s">
        <v>2697</v>
      </c>
      <c r="BQ65" s="83" t="s">
        <v>2699</v>
      </c>
      <c r="BR65" s="83" t="s">
        <v>2693</v>
      </c>
      <c r="BS65" s="83" t="s">
        <v>2699</v>
      </c>
      <c r="BT65" s="83" t="s">
        <v>2696</v>
      </c>
      <c r="BU65" s="83" t="s">
        <v>2699</v>
      </c>
      <c r="BV65" s="83" t="s">
        <v>2696</v>
      </c>
      <c r="BW65" s="83" t="s">
        <v>2698</v>
      </c>
      <c r="BX65" s="83" t="s">
        <v>2696</v>
      </c>
      <c r="BY65" s="83" t="s">
        <v>2699</v>
      </c>
      <c r="BZ65" s="83" t="s">
        <v>2693</v>
      </c>
      <c r="CA65" s="83" t="s">
        <v>2693</v>
      </c>
      <c r="CB65" s="83" t="s">
        <v>2697</v>
      </c>
      <c r="CC65" s="83" t="s">
        <v>2699</v>
      </c>
      <c r="CD65" s="83" t="s">
        <v>2699</v>
      </c>
      <c r="CF65" s="83" t="s">
        <v>3032</v>
      </c>
      <c r="CG65" s="83" t="s">
        <v>3027</v>
      </c>
      <c r="CH65" s="83" t="s">
        <v>2695</v>
      </c>
      <c r="CI65" s="83" t="s">
        <v>648</v>
      </c>
      <c r="CJ65" s="83" t="s">
        <v>2726</v>
      </c>
      <c r="CK65" s="144">
        <v>0</v>
      </c>
      <c r="CL65" s="99">
        <v>31000</v>
      </c>
    </row>
    <row r="66" spans="1:90">
      <c r="A66" s="83" t="s">
        <v>2540</v>
      </c>
      <c r="B66" s="83" t="s">
        <v>734</v>
      </c>
      <c r="D66" s="83" t="s">
        <v>688</v>
      </c>
      <c r="E66" s="83" t="s">
        <v>734</v>
      </c>
      <c r="F66" s="83" t="s">
        <v>2994</v>
      </c>
      <c r="G66" s="83" t="s">
        <v>2284</v>
      </c>
      <c r="H66" s="83" t="s">
        <v>1201</v>
      </c>
      <c r="I66" s="83" t="s">
        <v>1202</v>
      </c>
      <c r="J66" s="83" t="s">
        <v>1203</v>
      </c>
      <c r="K66" s="83" t="s">
        <v>565</v>
      </c>
      <c r="L66" s="83" t="s">
        <v>398</v>
      </c>
      <c r="M66" s="83" t="s">
        <v>399</v>
      </c>
      <c r="N66" s="83" t="s">
        <v>2899</v>
      </c>
      <c r="O66" s="83" t="s">
        <v>106</v>
      </c>
      <c r="P66" s="83">
        <v>4</v>
      </c>
      <c r="Q66" s="83" t="s">
        <v>106</v>
      </c>
      <c r="R66" s="83" t="s">
        <v>2730</v>
      </c>
      <c r="S66" s="83" t="s">
        <v>2995</v>
      </c>
      <c r="T66" s="83" t="s">
        <v>1458</v>
      </c>
      <c r="U66" s="83" t="s">
        <v>401</v>
      </c>
      <c r="AC66" s="83" t="s">
        <v>401</v>
      </c>
      <c r="AD66" s="83">
        <v>1184000</v>
      </c>
      <c r="AF66" s="83">
        <v>379000</v>
      </c>
      <c r="AJ66" s="83">
        <v>1</v>
      </c>
      <c r="AK66" s="83">
        <v>2</v>
      </c>
      <c r="AL66" s="83">
        <v>8932</v>
      </c>
      <c r="AM66" s="83" t="s">
        <v>2693</v>
      </c>
      <c r="BK66" s="83" t="s">
        <v>2694</v>
      </c>
      <c r="BL66" s="83" t="s">
        <v>2697</v>
      </c>
      <c r="BM66" s="83" t="s">
        <v>2699</v>
      </c>
      <c r="BN66" s="83" t="s">
        <v>2698</v>
      </c>
      <c r="BO66" s="83" t="s">
        <v>2697</v>
      </c>
      <c r="BP66" s="83" t="s">
        <v>2698</v>
      </c>
      <c r="BQ66" s="83" t="s">
        <v>2699</v>
      </c>
      <c r="BR66" s="83" t="s">
        <v>2699</v>
      </c>
      <c r="BS66" s="83" t="s">
        <v>2699</v>
      </c>
      <c r="BT66" s="83" t="s">
        <v>2696</v>
      </c>
      <c r="BU66" s="83" t="s">
        <v>2699</v>
      </c>
      <c r="BV66" s="83" t="s">
        <v>2696</v>
      </c>
      <c r="BW66" s="83" t="s">
        <v>2698</v>
      </c>
      <c r="BX66" s="83" t="s">
        <v>2696</v>
      </c>
      <c r="BY66" s="83" t="s">
        <v>2699</v>
      </c>
      <c r="BZ66" s="83" t="s">
        <v>2693</v>
      </c>
      <c r="CA66" s="83" t="s">
        <v>2693</v>
      </c>
      <c r="CB66" s="83" t="s">
        <v>2694</v>
      </c>
      <c r="CC66" s="83" t="s">
        <v>2699</v>
      </c>
      <c r="CD66" s="83" t="s">
        <v>2696</v>
      </c>
      <c r="CF66" s="83" t="s">
        <v>2996</v>
      </c>
      <c r="CG66" s="83" t="s">
        <v>2997</v>
      </c>
      <c r="CH66" s="83" t="s">
        <v>2693</v>
      </c>
      <c r="CI66" s="83" t="s">
        <v>3992</v>
      </c>
      <c r="CJ66" s="83" t="s">
        <v>2701</v>
      </c>
      <c r="CK66" s="144">
        <v>0</v>
      </c>
      <c r="CL66" s="99">
        <v>6000</v>
      </c>
    </row>
    <row r="67" spans="1:90">
      <c r="A67" s="83" t="s">
        <v>1128</v>
      </c>
      <c r="B67" s="83" t="s">
        <v>1017</v>
      </c>
      <c r="D67" s="83" t="s">
        <v>688</v>
      </c>
      <c r="E67" s="83" t="s">
        <v>1017</v>
      </c>
      <c r="F67" s="83" t="s">
        <v>3420</v>
      </c>
      <c r="G67" s="83" t="s">
        <v>1149</v>
      </c>
      <c r="H67" s="83" t="s">
        <v>1201</v>
      </c>
      <c r="I67" s="83" t="s">
        <v>1202</v>
      </c>
      <c r="J67" s="83" t="s">
        <v>1203</v>
      </c>
      <c r="K67" s="83" t="s">
        <v>565</v>
      </c>
      <c r="L67" s="83" t="s">
        <v>398</v>
      </c>
      <c r="M67" s="83" t="s">
        <v>399</v>
      </c>
      <c r="N67" s="83" t="s">
        <v>2792</v>
      </c>
      <c r="O67" s="83" t="s">
        <v>106</v>
      </c>
      <c r="P67" s="83">
        <v>8</v>
      </c>
      <c r="Q67" s="83" t="s">
        <v>106</v>
      </c>
      <c r="R67" s="83" t="s">
        <v>2767</v>
      </c>
      <c r="S67" s="83" t="s">
        <v>1451</v>
      </c>
      <c r="T67" s="83" t="s">
        <v>2703</v>
      </c>
      <c r="U67" s="83" t="s">
        <v>401</v>
      </c>
      <c r="AC67" s="83" t="s">
        <v>401</v>
      </c>
      <c r="AD67" s="83">
        <v>525000</v>
      </c>
      <c r="AF67" s="83">
        <v>158000</v>
      </c>
      <c r="AJ67" s="83">
        <v>1</v>
      </c>
      <c r="AK67" s="83">
        <v>1</v>
      </c>
      <c r="AL67" s="83">
        <v>3732</v>
      </c>
      <c r="AM67" s="83" t="s">
        <v>2693</v>
      </c>
      <c r="BK67" s="83" t="s">
        <v>2694</v>
      </c>
      <c r="BL67" s="83" t="s">
        <v>2695</v>
      </c>
      <c r="BM67" s="83" t="s">
        <v>2693</v>
      </c>
      <c r="BN67" s="83" t="s">
        <v>2698</v>
      </c>
      <c r="BO67" s="83" t="s">
        <v>2697</v>
      </c>
      <c r="BP67" s="83" t="s">
        <v>2697</v>
      </c>
      <c r="BQ67" s="83" t="s">
        <v>2699</v>
      </c>
      <c r="BR67" s="83" t="s">
        <v>2693</v>
      </c>
      <c r="BS67" s="83" t="s">
        <v>2699</v>
      </c>
      <c r="BT67" s="83" t="s">
        <v>2696</v>
      </c>
      <c r="BU67" s="83" t="s">
        <v>2699</v>
      </c>
      <c r="BV67" s="83" t="s">
        <v>2697</v>
      </c>
      <c r="BW67" s="83" t="s">
        <v>2698</v>
      </c>
      <c r="BX67" s="83" t="s">
        <v>2696</v>
      </c>
      <c r="BY67" s="83" t="s">
        <v>2699</v>
      </c>
      <c r="BZ67" s="83" t="s">
        <v>2699</v>
      </c>
      <c r="CA67" s="83" t="s">
        <v>2693</v>
      </c>
      <c r="CB67" s="83" t="s">
        <v>2694</v>
      </c>
      <c r="CC67" s="83" t="s">
        <v>2696</v>
      </c>
      <c r="CD67" s="83" t="s">
        <v>2696</v>
      </c>
      <c r="CF67" s="83" t="s">
        <v>1018</v>
      </c>
      <c r="CG67" s="83" t="s">
        <v>1019</v>
      </c>
      <c r="CH67" s="83" t="s">
        <v>2695</v>
      </c>
      <c r="CI67" s="83" t="s">
        <v>648</v>
      </c>
      <c r="CJ67" s="83" t="s">
        <v>2780</v>
      </c>
      <c r="CK67" s="144">
        <v>0</v>
      </c>
      <c r="CL67" s="99">
        <v>9000</v>
      </c>
    </row>
    <row r="68" spans="1:90">
      <c r="A68" s="83" t="s">
        <v>2524</v>
      </c>
      <c r="B68" s="83" t="s">
        <v>732</v>
      </c>
      <c r="D68" s="83" t="s">
        <v>688</v>
      </c>
      <c r="E68" s="83" t="s">
        <v>732</v>
      </c>
      <c r="F68" s="83" t="s">
        <v>2964</v>
      </c>
      <c r="G68" s="83" t="s">
        <v>2279</v>
      </c>
      <c r="H68" s="83" t="s">
        <v>1201</v>
      </c>
      <c r="I68" s="83" t="s">
        <v>1202</v>
      </c>
      <c r="J68" s="83" t="s">
        <v>1203</v>
      </c>
      <c r="K68" s="83" t="s">
        <v>565</v>
      </c>
      <c r="L68" s="83" t="s">
        <v>398</v>
      </c>
      <c r="M68" s="83" t="s">
        <v>399</v>
      </c>
      <c r="N68" s="83" t="s">
        <v>2899</v>
      </c>
      <c r="O68" s="83" t="s">
        <v>106</v>
      </c>
      <c r="P68" s="83">
        <v>8</v>
      </c>
      <c r="Q68" s="83" t="s">
        <v>106</v>
      </c>
      <c r="R68" s="83" t="s">
        <v>2730</v>
      </c>
      <c r="S68" s="83" t="s">
        <v>1458</v>
      </c>
      <c r="T68" s="83" t="s">
        <v>2712</v>
      </c>
      <c r="U68" s="83" t="s">
        <v>401</v>
      </c>
      <c r="AC68" s="83" t="s">
        <v>401</v>
      </c>
      <c r="AD68" s="83">
        <v>580000</v>
      </c>
      <c r="AF68" s="83">
        <v>172000</v>
      </c>
      <c r="AJ68" s="83">
        <v>1</v>
      </c>
      <c r="AK68" s="83">
        <v>1</v>
      </c>
      <c r="AL68" s="83">
        <v>4058</v>
      </c>
      <c r="AM68" s="83" t="s">
        <v>2693</v>
      </c>
      <c r="BK68" s="83" t="s">
        <v>2694</v>
      </c>
      <c r="BL68" s="83" t="s">
        <v>2697</v>
      </c>
      <c r="BM68" s="83" t="s">
        <v>2693</v>
      </c>
      <c r="BN68" s="83" t="s">
        <v>2698</v>
      </c>
      <c r="BO68" s="83" t="s">
        <v>2697</v>
      </c>
      <c r="BP68" s="83" t="s">
        <v>2697</v>
      </c>
      <c r="BQ68" s="83" t="s">
        <v>2699</v>
      </c>
      <c r="BR68" s="83" t="s">
        <v>2693</v>
      </c>
      <c r="BS68" s="83" t="s">
        <v>2699</v>
      </c>
      <c r="BT68" s="83" t="s">
        <v>2696</v>
      </c>
      <c r="BU68" s="83" t="s">
        <v>2699</v>
      </c>
      <c r="BV68" s="83" t="s">
        <v>2696</v>
      </c>
      <c r="BW68" s="83" t="s">
        <v>2698</v>
      </c>
      <c r="BX68" s="83" t="s">
        <v>2696</v>
      </c>
      <c r="BY68" s="83" t="s">
        <v>2699</v>
      </c>
      <c r="BZ68" s="83" t="s">
        <v>2693</v>
      </c>
      <c r="CA68" s="83" t="s">
        <v>2693</v>
      </c>
      <c r="CB68" s="83" t="s">
        <v>2694</v>
      </c>
      <c r="CC68" s="83" t="s">
        <v>2699</v>
      </c>
      <c r="CD68" s="83" t="s">
        <v>2696</v>
      </c>
      <c r="CF68" s="83" t="s">
        <v>580</v>
      </c>
      <c r="CG68" s="83" t="s">
        <v>2965</v>
      </c>
      <c r="CH68" s="83" t="s">
        <v>2695</v>
      </c>
      <c r="CI68" s="83" t="s">
        <v>648</v>
      </c>
      <c r="CJ68" s="83" t="s">
        <v>2722</v>
      </c>
      <c r="CK68" s="144">
        <v>0</v>
      </c>
      <c r="CL68" s="99">
        <v>18000</v>
      </c>
    </row>
    <row r="69" spans="1:90">
      <c r="A69" s="83" t="s">
        <v>1531</v>
      </c>
      <c r="B69" s="83" t="s">
        <v>3739</v>
      </c>
      <c r="D69" s="83" t="s">
        <v>688</v>
      </c>
      <c r="E69" s="83" t="s">
        <v>699</v>
      </c>
      <c r="F69" s="83" t="s">
        <v>1700</v>
      </c>
      <c r="G69" s="83" t="s">
        <v>1824</v>
      </c>
      <c r="H69" s="83" t="s">
        <v>1201</v>
      </c>
      <c r="I69" s="83" t="s">
        <v>1202</v>
      </c>
      <c r="J69" s="83" t="s">
        <v>1203</v>
      </c>
      <c r="K69" s="83" t="s">
        <v>565</v>
      </c>
      <c r="L69" s="83" t="s">
        <v>398</v>
      </c>
      <c r="M69" s="83" t="s">
        <v>399</v>
      </c>
      <c r="N69" s="83" t="s">
        <v>2709</v>
      </c>
      <c r="O69" s="83" t="s">
        <v>106</v>
      </c>
      <c r="P69" s="83">
        <v>8</v>
      </c>
      <c r="Q69" s="83" t="s">
        <v>106</v>
      </c>
      <c r="R69" s="83" t="s">
        <v>2730</v>
      </c>
      <c r="S69" s="83" t="s">
        <v>2802</v>
      </c>
      <c r="T69" s="83" t="s">
        <v>2712</v>
      </c>
      <c r="U69" s="83" t="s">
        <v>401</v>
      </c>
      <c r="AC69" s="83" t="s">
        <v>401</v>
      </c>
      <c r="AD69" s="83">
        <v>984000</v>
      </c>
      <c r="AF69" s="83">
        <v>693000</v>
      </c>
      <c r="AJ69" s="83">
        <v>1</v>
      </c>
      <c r="AK69" s="83">
        <v>1</v>
      </c>
      <c r="AL69" s="83">
        <v>8179</v>
      </c>
      <c r="AM69" s="83" t="s">
        <v>2693</v>
      </c>
      <c r="BK69" s="83" t="s">
        <v>2694</v>
      </c>
      <c r="BL69" s="83" t="s">
        <v>2695</v>
      </c>
      <c r="BM69" s="83" t="s">
        <v>2693</v>
      </c>
      <c r="BN69" s="83" t="s">
        <v>2698</v>
      </c>
      <c r="BO69" s="83" t="s">
        <v>2697</v>
      </c>
      <c r="BP69" s="83" t="s">
        <v>2697</v>
      </c>
      <c r="BQ69" s="83" t="s">
        <v>2699</v>
      </c>
      <c r="BR69" s="83" t="s">
        <v>2693</v>
      </c>
      <c r="BS69" s="83" t="s">
        <v>2699</v>
      </c>
      <c r="BT69" s="83" t="s">
        <v>2696</v>
      </c>
      <c r="BU69" s="83" t="s">
        <v>2699</v>
      </c>
      <c r="BV69" s="83" t="s">
        <v>2699</v>
      </c>
      <c r="BW69" s="83" t="s">
        <v>2699</v>
      </c>
      <c r="BX69" s="83" t="s">
        <v>2696</v>
      </c>
      <c r="BY69" s="83" t="s">
        <v>2699</v>
      </c>
      <c r="BZ69" s="83" t="s">
        <v>2693</v>
      </c>
      <c r="CA69" s="83" t="s">
        <v>2693</v>
      </c>
      <c r="CB69" s="83">
        <v>8</v>
      </c>
      <c r="CC69" s="83" t="s">
        <v>2699</v>
      </c>
      <c r="CD69" s="83" t="s">
        <v>2696</v>
      </c>
      <c r="CF69" s="83" t="s">
        <v>1943</v>
      </c>
      <c r="CG69" s="83" t="s">
        <v>3740</v>
      </c>
      <c r="CH69" s="83" t="s">
        <v>2695</v>
      </c>
      <c r="CI69" s="83" t="s">
        <v>648</v>
      </c>
      <c r="CJ69" s="83" t="s">
        <v>2726</v>
      </c>
      <c r="CK69" s="144">
        <v>0</v>
      </c>
      <c r="CL69" s="99">
        <v>3000</v>
      </c>
    </row>
    <row r="70" spans="1:90">
      <c r="A70" s="83" t="s">
        <v>1532</v>
      </c>
      <c r="B70" s="83" t="s">
        <v>718</v>
      </c>
      <c r="D70" s="83" t="s">
        <v>688</v>
      </c>
      <c r="E70" s="83" t="s">
        <v>699</v>
      </c>
      <c r="F70" s="83" t="s">
        <v>1701</v>
      </c>
      <c r="G70" s="83" t="s">
        <v>1825</v>
      </c>
      <c r="H70" s="83" t="s">
        <v>1201</v>
      </c>
      <c r="I70" s="83" t="s">
        <v>1202</v>
      </c>
      <c r="J70" s="83" t="s">
        <v>1203</v>
      </c>
      <c r="K70" s="83" t="s">
        <v>565</v>
      </c>
      <c r="L70" s="83" t="s">
        <v>398</v>
      </c>
      <c r="M70" s="83" t="s">
        <v>399</v>
      </c>
      <c r="N70" s="83" t="s">
        <v>2690</v>
      </c>
      <c r="O70" s="83" t="s">
        <v>106</v>
      </c>
      <c r="P70" s="83">
        <v>8</v>
      </c>
      <c r="Q70" s="83" t="s">
        <v>106</v>
      </c>
      <c r="R70" s="83" t="s">
        <v>2730</v>
      </c>
      <c r="S70" s="83" t="s">
        <v>2702</v>
      </c>
      <c r="T70" s="83" t="s">
        <v>1463</v>
      </c>
      <c r="U70" s="83" t="s">
        <v>401</v>
      </c>
      <c r="AC70" s="83" t="s">
        <v>401</v>
      </c>
      <c r="AD70" s="83">
        <v>921000</v>
      </c>
      <c r="AF70" s="83">
        <v>653000</v>
      </c>
      <c r="AJ70" s="83">
        <v>1</v>
      </c>
      <c r="AK70" s="83">
        <v>1</v>
      </c>
      <c r="AL70" s="83">
        <v>7705</v>
      </c>
      <c r="AM70" s="83" t="s">
        <v>2693</v>
      </c>
      <c r="BK70" s="83" t="s">
        <v>2694</v>
      </c>
      <c r="BL70" s="83" t="s">
        <v>2695</v>
      </c>
      <c r="BM70" s="83" t="s">
        <v>2693</v>
      </c>
      <c r="BN70" s="83" t="s">
        <v>2698</v>
      </c>
      <c r="BO70" s="83" t="s">
        <v>2697</v>
      </c>
      <c r="BP70" s="83" t="s">
        <v>2697</v>
      </c>
      <c r="BQ70" s="83" t="s">
        <v>2699</v>
      </c>
      <c r="BR70" s="83" t="s">
        <v>2693</v>
      </c>
      <c r="BS70" s="83" t="s">
        <v>2699</v>
      </c>
      <c r="BT70" s="83" t="s">
        <v>2696</v>
      </c>
      <c r="BU70" s="83" t="s">
        <v>2699</v>
      </c>
      <c r="BV70" s="83" t="s">
        <v>2699</v>
      </c>
      <c r="BW70" s="83" t="s">
        <v>2699</v>
      </c>
      <c r="BX70" s="83" t="s">
        <v>2696</v>
      </c>
      <c r="BY70" s="83" t="s">
        <v>2699</v>
      </c>
      <c r="BZ70" s="83" t="s">
        <v>2693</v>
      </c>
      <c r="CA70" s="83" t="s">
        <v>2693</v>
      </c>
      <c r="CB70" s="83">
        <v>8</v>
      </c>
      <c r="CC70" s="83" t="s">
        <v>2699</v>
      </c>
      <c r="CD70" s="83" t="s">
        <v>2696</v>
      </c>
      <c r="CF70" s="83" t="s">
        <v>1946</v>
      </c>
      <c r="CG70" s="83" t="s">
        <v>1947</v>
      </c>
      <c r="CH70" s="83" t="s">
        <v>2695</v>
      </c>
      <c r="CI70" s="83" t="s">
        <v>648</v>
      </c>
      <c r="CJ70" s="83" t="s">
        <v>2726</v>
      </c>
      <c r="CK70" s="144">
        <v>0</v>
      </c>
      <c r="CL70" s="99">
        <v>5000</v>
      </c>
    </row>
    <row r="71" spans="1:90">
      <c r="A71" s="83" t="s">
        <v>2655</v>
      </c>
      <c r="B71" s="83" t="s">
        <v>980</v>
      </c>
      <c r="D71" s="83" t="s">
        <v>688</v>
      </c>
      <c r="E71" s="83" t="s">
        <v>699</v>
      </c>
      <c r="F71" s="83" t="s">
        <v>3217</v>
      </c>
      <c r="G71" s="83" t="s">
        <v>2314</v>
      </c>
      <c r="H71" s="83" t="s">
        <v>1201</v>
      </c>
      <c r="I71" s="83" t="s">
        <v>1202</v>
      </c>
      <c r="J71" s="83" t="s">
        <v>1203</v>
      </c>
      <c r="K71" s="83" t="s">
        <v>565</v>
      </c>
      <c r="L71" s="83" t="s">
        <v>398</v>
      </c>
      <c r="M71" s="83" t="s">
        <v>399</v>
      </c>
      <c r="N71" s="83" t="s">
        <v>2833</v>
      </c>
      <c r="O71" s="83" t="s">
        <v>106</v>
      </c>
      <c r="P71" s="83">
        <v>5</v>
      </c>
      <c r="Q71" s="83" t="s">
        <v>106</v>
      </c>
      <c r="R71" s="83" t="s">
        <v>2730</v>
      </c>
      <c r="S71" s="83" t="s">
        <v>3218</v>
      </c>
      <c r="T71" s="83" t="s">
        <v>2843</v>
      </c>
      <c r="U71" s="83" t="s">
        <v>401</v>
      </c>
      <c r="AC71" s="83" t="s">
        <v>401</v>
      </c>
      <c r="AD71" s="83">
        <v>3764000</v>
      </c>
      <c r="AF71" s="83">
        <v>2294000</v>
      </c>
      <c r="AJ71" s="83">
        <v>1</v>
      </c>
      <c r="AK71" s="83">
        <v>1</v>
      </c>
      <c r="AL71" s="83">
        <v>27053</v>
      </c>
      <c r="AM71" s="83" t="s">
        <v>2693</v>
      </c>
      <c r="BK71" s="83" t="s">
        <v>2694</v>
      </c>
      <c r="BL71" s="83" t="s">
        <v>2697</v>
      </c>
      <c r="BM71" s="83" t="s">
        <v>2699</v>
      </c>
      <c r="BN71" s="83" t="s">
        <v>2698</v>
      </c>
      <c r="BO71" s="83" t="s">
        <v>2697</v>
      </c>
      <c r="BP71" s="83" t="s">
        <v>2699</v>
      </c>
      <c r="BQ71" s="83" t="s">
        <v>2699</v>
      </c>
      <c r="BR71" s="83" t="s">
        <v>2693</v>
      </c>
      <c r="BS71" s="83" t="s">
        <v>2699</v>
      </c>
      <c r="BT71" s="83" t="s">
        <v>2696</v>
      </c>
      <c r="BU71" s="83" t="s">
        <v>2699</v>
      </c>
      <c r="BV71" s="83" t="s">
        <v>2696</v>
      </c>
      <c r="BW71" s="83" t="s">
        <v>2698</v>
      </c>
      <c r="BX71" s="83" t="s">
        <v>2696</v>
      </c>
      <c r="BY71" s="83" t="s">
        <v>2699</v>
      </c>
      <c r="BZ71" s="83" t="s">
        <v>2693</v>
      </c>
      <c r="CA71" s="83" t="s">
        <v>2693</v>
      </c>
      <c r="CB71" s="83" t="s">
        <v>2694</v>
      </c>
      <c r="CC71" s="83" t="s">
        <v>2699</v>
      </c>
      <c r="CD71" s="83" t="s">
        <v>2696</v>
      </c>
      <c r="CF71" s="83" t="s">
        <v>3219</v>
      </c>
      <c r="CG71" s="83" t="s">
        <v>3220</v>
      </c>
      <c r="CH71" s="83" t="s">
        <v>2725</v>
      </c>
      <c r="CI71" s="83" t="s">
        <v>1358</v>
      </c>
      <c r="CJ71" s="83" t="s">
        <v>2726</v>
      </c>
      <c r="CK71" s="144">
        <v>2</v>
      </c>
      <c r="CL71" s="99">
        <v>36000</v>
      </c>
    </row>
    <row r="72" spans="1:90">
      <c r="A72" s="83" t="s">
        <v>1125</v>
      </c>
      <c r="B72" s="83" t="s">
        <v>960</v>
      </c>
      <c r="D72" s="83" t="s">
        <v>688</v>
      </c>
      <c r="E72" s="83" t="s">
        <v>960</v>
      </c>
      <c r="F72" s="83" t="s">
        <v>3421</v>
      </c>
      <c r="G72" s="83" t="s">
        <v>1153</v>
      </c>
      <c r="H72" s="83" t="s">
        <v>1201</v>
      </c>
      <c r="I72" s="83" t="s">
        <v>1202</v>
      </c>
      <c r="J72" s="83" t="s">
        <v>1203</v>
      </c>
      <c r="K72" s="83" t="s">
        <v>565</v>
      </c>
      <c r="L72" s="83" t="s">
        <v>398</v>
      </c>
      <c r="M72" s="83" t="s">
        <v>399</v>
      </c>
      <c r="N72" s="83" t="s">
        <v>3057</v>
      </c>
      <c r="O72" s="83" t="s">
        <v>106</v>
      </c>
      <c r="P72" s="83">
        <v>8</v>
      </c>
      <c r="Q72" s="83" t="s">
        <v>106</v>
      </c>
      <c r="R72" s="83" t="s">
        <v>2767</v>
      </c>
      <c r="S72" s="83" t="s">
        <v>1464</v>
      </c>
      <c r="T72" s="83" t="s">
        <v>2703</v>
      </c>
      <c r="U72" s="83" t="s">
        <v>401</v>
      </c>
      <c r="AC72" s="83" t="s">
        <v>401</v>
      </c>
      <c r="AD72" s="83">
        <v>5069000</v>
      </c>
      <c r="AF72" s="83">
        <v>2961000</v>
      </c>
      <c r="AJ72" s="83">
        <v>1</v>
      </c>
      <c r="AK72" s="83">
        <v>1</v>
      </c>
      <c r="AL72" s="83">
        <v>34930</v>
      </c>
      <c r="AM72" s="83" t="s">
        <v>2693</v>
      </c>
      <c r="BK72" s="83" t="s">
        <v>2694</v>
      </c>
      <c r="BL72" s="83" t="s">
        <v>2697</v>
      </c>
      <c r="BM72" s="83" t="s">
        <v>2699</v>
      </c>
      <c r="BN72" s="83" t="s">
        <v>2698</v>
      </c>
      <c r="BO72" s="83" t="s">
        <v>2697</v>
      </c>
      <c r="BP72" s="83" t="s">
        <v>2697</v>
      </c>
      <c r="BQ72" s="83" t="s">
        <v>2699</v>
      </c>
      <c r="BR72" s="83" t="s">
        <v>2699</v>
      </c>
      <c r="BS72" s="83" t="s">
        <v>2699</v>
      </c>
      <c r="BT72" s="83" t="s">
        <v>2696</v>
      </c>
      <c r="BU72" s="83" t="s">
        <v>2699</v>
      </c>
      <c r="BV72" s="83" t="s">
        <v>2697</v>
      </c>
      <c r="BW72" s="83" t="s">
        <v>2698</v>
      </c>
      <c r="BX72" s="83" t="s">
        <v>2696</v>
      </c>
      <c r="BY72" s="83" t="s">
        <v>2699</v>
      </c>
      <c r="BZ72" s="83" t="s">
        <v>2699</v>
      </c>
      <c r="CA72" s="83" t="s">
        <v>2693</v>
      </c>
      <c r="CB72" s="83" t="s">
        <v>2694</v>
      </c>
      <c r="CC72" s="83" t="s">
        <v>2699</v>
      </c>
      <c r="CD72" s="83" t="s">
        <v>2699</v>
      </c>
      <c r="CF72" s="83" t="s">
        <v>961</v>
      </c>
      <c r="CG72" s="83" t="s">
        <v>962</v>
      </c>
      <c r="CH72" s="83" t="s">
        <v>2695</v>
      </c>
      <c r="CI72" s="83" t="s">
        <v>648</v>
      </c>
      <c r="CJ72" s="83" t="s">
        <v>2780</v>
      </c>
      <c r="CK72" s="144">
        <v>0</v>
      </c>
      <c r="CL72" s="99">
        <v>65000</v>
      </c>
    </row>
    <row r="73" spans="1:90">
      <c r="A73" s="83" t="s">
        <v>1206</v>
      </c>
      <c r="B73" s="83" t="s">
        <v>1236</v>
      </c>
      <c r="D73" s="83" t="s">
        <v>688</v>
      </c>
      <c r="E73" s="83" t="s">
        <v>1259</v>
      </c>
      <c r="F73" s="83" t="s">
        <v>1288</v>
      </c>
      <c r="G73" s="83" t="s">
        <v>1289</v>
      </c>
      <c r="H73" s="83" t="s">
        <v>1443</v>
      </c>
      <c r="I73" s="83" t="s">
        <v>1202</v>
      </c>
      <c r="J73" s="83" t="s">
        <v>1203</v>
      </c>
      <c r="K73" s="83" t="s">
        <v>565</v>
      </c>
      <c r="L73" s="83" t="s">
        <v>398</v>
      </c>
      <c r="M73" s="83" t="s">
        <v>399</v>
      </c>
      <c r="N73" s="83" t="s">
        <v>2742</v>
      </c>
      <c r="O73" s="83" t="s">
        <v>106</v>
      </c>
      <c r="P73" s="83">
        <v>8</v>
      </c>
      <c r="Q73" s="83" t="s">
        <v>106</v>
      </c>
      <c r="R73" s="83" t="s">
        <v>2730</v>
      </c>
      <c r="S73" s="83" t="s">
        <v>1444</v>
      </c>
      <c r="T73" s="83" t="s">
        <v>2703</v>
      </c>
      <c r="U73" s="83" t="s">
        <v>401</v>
      </c>
      <c r="AC73" s="83" t="s">
        <v>401</v>
      </c>
      <c r="AD73" s="83">
        <v>3685000</v>
      </c>
      <c r="AF73" s="83">
        <v>1979000</v>
      </c>
      <c r="AJ73" s="83">
        <v>1</v>
      </c>
      <c r="AK73" s="83">
        <v>1</v>
      </c>
      <c r="AL73" s="83">
        <v>23337</v>
      </c>
      <c r="AM73" s="83" t="s">
        <v>2693</v>
      </c>
      <c r="BK73" s="83" t="s">
        <v>2694</v>
      </c>
      <c r="BL73" s="83" t="s">
        <v>2695</v>
      </c>
      <c r="BM73" s="83" t="s">
        <v>2699</v>
      </c>
      <c r="BN73" s="83" t="s">
        <v>2698</v>
      </c>
      <c r="BO73" s="83" t="s">
        <v>2697</v>
      </c>
      <c r="BP73" s="83" t="s">
        <v>2697</v>
      </c>
      <c r="BQ73" s="83" t="s">
        <v>2699</v>
      </c>
      <c r="BR73" s="83" t="s">
        <v>2693</v>
      </c>
      <c r="BS73" s="83" t="s">
        <v>2699</v>
      </c>
      <c r="BT73" s="83" t="s">
        <v>2696</v>
      </c>
      <c r="BU73" s="83" t="s">
        <v>2699</v>
      </c>
      <c r="BV73" s="83" t="s">
        <v>2696</v>
      </c>
      <c r="BW73" s="83" t="s">
        <v>2695</v>
      </c>
      <c r="BX73" s="83" t="s">
        <v>2696</v>
      </c>
      <c r="BY73" s="83" t="s">
        <v>2699</v>
      </c>
      <c r="BZ73" s="83" t="s">
        <v>2693</v>
      </c>
      <c r="CA73" s="83" t="s">
        <v>2693</v>
      </c>
      <c r="CB73" s="83">
        <v>3</v>
      </c>
      <c r="CC73" s="83" t="s">
        <v>2696</v>
      </c>
      <c r="CD73" s="83" t="s">
        <v>2696</v>
      </c>
      <c r="CF73" s="83" t="s">
        <v>1346</v>
      </c>
      <c r="CG73" s="83" t="s">
        <v>1347</v>
      </c>
      <c r="CH73" s="83" t="s">
        <v>2695</v>
      </c>
      <c r="CI73" s="83" t="s">
        <v>648</v>
      </c>
      <c r="CJ73" s="83" t="s">
        <v>2780</v>
      </c>
      <c r="CK73" s="144">
        <v>0</v>
      </c>
      <c r="CL73" s="99">
        <v>67000</v>
      </c>
    </row>
    <row r="74" spans="1:90">
      <c r="A74" s="83" t="s">
        <v>1490</v>
      </c>
      <c r="B74" s="83" t="s">
        <v>3741</v>
      </c>
      <c r="D74" s="83" t="s">
        <v>688</v>
      </c>
      <c r="E74" s="83" t="s">
        <v>3741</v>
      </c>
      <c r="F74" s="83" t="s">
        <v>1702</v>
      </c>
      <c r="G74" s="83" t="s">
        <v>1826</v>
      </c>
      <c r="H74" s="83" t="s">
        <v>1201</v>
      </c>
      <c r="I74" s="83" t="s">
        <v>1202</v>
      </c>
      <c r="J74" s="83" t="s">
        <v>1203</v>
      </c>
      <c r="K74" s="83" t="s">
        <v>565</v>
      </c>
      <c r="L74" s="83" t="s">
        <v>398</v>
      </c>
      <c r="M74" s="83" t="s">
        <v>399</v>
      </c>
      <c r="N74" s="83" t="s">
        <v>2735</v>
      </c>
      <c r="O74" s="83" t="s">
        <v>106</v>
      </c>
      <c r="P74" s="83">
        <v>8</v>
      </c>
      <c r="Q74" s="83" t="s">
        <v>106</v>
      </c>
      <c r="R74" s="83" t="s">
        <v>2730</v>
      </c>
      <c r="S74" s="83" t="s">
        <v>2779</v>
      </c>
      <c r="T74" s="83" t="s">
        <v>2703</v>
      </c>
      <c r="U74" s="83" t="s">
        <v>401</v>
      </c>
      <c r="AC74" s="83" t="s">
        <v>401</v>
      </c>
      <c r="AD74" s="83">
        <v>3209000</v>
      </c>
      <c r="AF74" s="83">
        <v>2260000</v>
      </c>
      <c r="AJ74" s="83">
        <v>1</v>
      </c>
      <c r="AK74" s="83">
        <v>1</v>
      </c>
      <c r="AL74" s="83">
        <v>26660</v>
      </c>
      <c r="AM74" s="83" t="s">
        <v>2693</v>
      </c>
      <c r="BK74" s="83" t="s">
        <v>2694</v>
      </c>
      <c r="BL74" s="83" t="s">
        <v>2695</v>
      </c>
      <c r="BM74" s="83" t="s">
        <v>2693</v>
      </c>
      <c r="BN74" s="83" t="s">
        <v>2698</v>
      </c>
      <c r="BO74" s="83" t="s">
        <v>2697</v>
      </c>
      <c r="BP74" s="83" t="s">
        <v>2697</v>
      </c>
      <c r="BQ74" s="83" t="s">
        <v>2699</v>
      </c>
      <c r="BR74" s="83" t="s">
        <v>2693</v>
      </c>
      <c r="BS74" s="83" t="s">
        <v>2699</v>
      </c>
      <c r="BT74" s="83" t="s">
        <v>2696</v>
      </c>
      <c r="BU74" s="83" t="s">
        <v>2699</v>
      </c>
      <c r="BV74" s="83" t="s">
        <v>2699</v>
      </c>
      <c r="BW74" s="83" t="s">
        <v>2699</v>
      </c>
      <c r="BX74" s="83" t="s">
        <v>2696</v>
      </c>
      <c r="BY74" s="83" t="s">
        <v>2699</v>
      </c>
      <c r="BZ74" s="83" t="s">
        <v>2693</v>
      </c>
      <c r="CA74" s="83" t="s">
        <v>2693</v>
      </c>
      <c r="CB74" s="83">
        <v>8</v>
      </c>
      <c r="CC74" s="83" t="s">
        <v>2699</v>
      </c>
      <c r="CD74" s="83" t="s">
        <v>2696</v>
      </c>
      <c r="CF74" s="83" t="s">
        <v>1944</v>
      </c>
      <c r="CG74" s="83" t="s">
        <v>1945</v>
      </c>
      <c r="CH74" s="83" t="s">
        <v>2695</v>
      </c>
      <c r="CI74" s="83" t="s">
        <v>648</v>
      </c>
      <c r="CJ74" s="83" t="s">
        <v>2726</v>
      </c>
      <c r="CK74" s="144">
        <v>0</v>
      </c>
      <c r="CL74" s="99">
        <v>5000</v>
      </c>
    </row>
    <row r="75" spans="1:90">
      <c r="A75" s="83" t="s">
        <v>1139</v>
      </c>
      <c r="B75" s="83" t="s">
        <v>3422</v>
      </c>
      <c r="D75" s="83" t="s">
        <v>688</v>
      </c>
      <c r="E75" s="83" t="s">
        <v>3422</v>
      </c>
      <c r="F75" s="83" t="s">
        <v>3423</v>
      </c>
      <c r="G75" s="83" t="s">
        <v>1154</v>
      </c>
      <c r="H75" s="83" t="s">
        <v>1201</v>
      </c>
      <c r="I75" s="83" t="s">
        <v>1202</v>
      </c>
      <c r="J75" s="83" t="s">
        <v>1203</v>
      </c>
      <c r="K75" s="83" t="s">
        <v>565</v>
      </c>
      <c r="L75" s="83" t="s">
        <v>398</v>
      </c>
      <c r="M75" s="83" t="s">
        <v>399</v>
      </c>
      <c r="N75" s="83" t="s">
        <v>3417</v>
      </c>
      <c r="O75" s="83" t="s">
        <v>106</v>
      </c>
      <c r="P75" s="83">
        <v>8</v>
      </c>
      <c r="Q75" s="83" t="s">
        <v>106</v>
      </c>
      <c r="R75" s="83" t="s">
        <v>2767</v>
      </c>
      <c r="S75" s="83" t="s">
        <v>1444</v>
      </c>
      <c r="T75" s="83" t="s">
        <v>2703</v>
      </c>
      <c r="U75" s="83" t="s">
        <v>401</v>
      </c>
      <c r="AC75" s="83" t="s">
        <v>401</v>
      </c>
      <c r="AD75" s="83">
        <v>4196000</v>
      </c>
      <c r="AF75" s="83">
        <v>2251000</v>
      </c>
      <c r="AJ75" s="83">
        <v>1</v>
      </c>
      <c r="AK75" s="83">
        <v>1</v>
      </c>
      <c r="AL75" s="83">
        <v>26546</v>
      </c>
      <c r="AM75" s="83" t="s">
        <v>2693</v>
      </c>
      <c r="BK75" s="83" t="s">
        <v>2694</v>
      </c>
      <c r="BL75" s="83" t="s">
        <v>2697</v>
      </c>
      <c r="BM75" s="83" t="s">
        <v>2699</v>
      </c>
      <c r="BN75" s="83" t="s">
        <v>2698</v>
      </c>
      <c r="BO75" s="83" t="s">
        <v>2697</v>
      </c>
      <c r="BP75" s="83" t="s">
        <v>2697</v>
      </c>
      <c r="BQ75" s="83" t="s">
        <v>2699</v>
      </c>
      <c r="BR75" s="83" t="s">
        <v>2699</v>
      </c>
      <c r="BS75" s="83" t="s">
        <v>2699</v>
      </c>
      <c r="BT75" s="83" t="s">
        <v>2696</v>
      </c>
      <c r="BU75" s="83" t="s">
        <v>2699</v>
      </c>
      <c r="BV75" s="83" t="s">
        <v>2697</v>
      </c>
      <c r="BW75" s="83" t="s">
        <v>2698</v>
      </c>
      <c r="BX75" s="83" t="s">
        <v>2696</v>
      </c>
      <c r="BY75" s="83" t="s">
        <v>2699</v>
      </c>
      <c r="BZ75" s="83" t="s">
        <v>2699</v>
      </c>
      <c r="CA75" s="83" t="s">
        <v>2693</v>
      </c>
      <c r="CB75" s="83" t="s">
        <v>2694</v>
      </c>
      <c r="CC75" s="83" t="s">
        <v>2699</v>
      </c>
      <c r="CD75" s="83" t="s">
        <v>2699</v>
      </c>
      <c r="CF75" s="83" t="s">
        <v>1081</v>
      </c>
      <c r="CG75" s="83" t="s">
        <v>1082</v>
      </c>
      <c r="CH75" s="83" t="s">
        <v>2695</v>
      </c>
      <c r="CI75" s="83" t="s">
        <v>648</v>
      </c>
      <c r="CJ75" s="83" t="s">
        <v>2780</v>
      </c>
      <c r="CK75" s="144">
        <v>0</v>
      </c>
      <c r="CL75" s="99">
        <v>66000</v>
      </c>
    </row>
    <row r="76" spans="1:90">
      <c r="A76" s="83" t="s">
        <v>1533</v>
      </c>
      <c r="B76" s="83" t="s">
        <v>3742</v>
      </c>
      <c r="D76" s="83" t="s">
        <v>688</v>
      </c>
      <c r="E76" s="83" t="s">
        <v>699</v>
      </c>
      <c r="F76" s="83" t="s">
        <v>1703</v>
      </c>
      <c r="G76" s="83" t="s">
        <v>1827</v>
      </c>
      <c r="H76" s="83" t="s">
        <v>1201</v>
      </c>
      <c r="I76" s="83" t="s">
        <v>1202</v>
      </c>
      <c r="J76" s="83" t="s">
        <v>1203</v>
      </c>
      <c r="K76" s="83" t="s">
        <v>565</v>
      </c>
      <c r="L76" s="83" t="s">
        <v>398</v>
      </c>
      <c r="M76" s="83" t="s">
        <v>399</v>
      </c>
      <c r="N76" s="83" t="s">
        <v>2743</v>
      </c>
      <c r="O76" s="83" t="s">
        <v>106</v>
      </c>
      <c r="P76" s="83">
        <v>8</v>
      </c>
      <c r="Q76" s="83" t="s">
        <v>106</v>
      </c>
      <c r="R76" s="83" t="s">
        <v>2730</v>
      </c>
      <c r="S76" s="83" t="s">
        <v>2746</v>
      </c>
      <c r="T76" s="83" t="s">
        <v>2703</v>
      </c>
      <c r="U76" s="83" t="s">
        <v>401</v>
      </c>
      <c r="AC76" s="83" t="s">
        <v>401</v>
      </c>
      <c r="AD76" s="83">
        <v>3597000</v>
      </c>
      <c r="AF76" s="83">
        <v>1964000</v>
      </c>
      <c r="AJ76" s="83">
        <v>1</v>
      </c>
      <c r="AK76" s="83">
        <v>2</v>
      </c>
      <c r="AL76" s="83">
        <v>23160</v>
      </c>
      <c r="AM76" s="83" t="s">
        <v>2693</v>
      </c>
      <c r="BK76" s="83" t="s">
        <v>2694</v>
      </c>
      <c r="BL76" s="83" t="s">
        <v>2698</v>
      </c>
      <c r="BM76" s="83" t="s">
        <v>2698</v>
      </c>
      <c r="BN76" s="83" t="s">
        <v>2698</v>
      </c>
      <c r="BO76" s="83" t="s">
        <v>2697</v>
      </c>
      <c r="BP76" s="83" t="s">
        <v>2697</v>
      </c>
      <c r="BQ76" s="83" t="s">
        <v>2699</v>
      </c>
      <c r="BR76" s="83" t="s">
        <v>2693</v>
      </c>
      <c r="BS76" s="83" t="s">
        <v>2699</v>
      </c>
      <c r="BT76" s="83" t="s">
        <v>2696</v>
      </c>
      <c r="BU76" s="83" t="s">
        <v>2699</v>
      </c>
      <c r="BV76" s="83" t="s">
        <v>2699</v>
      </c>
      <c r="BW76" s="83" t="s">
        <v>2699</v>
      </c>
      <c r="BX76" s="83" t="s">
        <v>2696</v>
      </c>
      <c r="BY76" s="83" t="s">
        <v>2699</v>
      </c>
      <c r="BZ76" s="83" t="s">
        <v>2693</v>
      </c>
      <c r="CA76" s="83" t="s">
        <v>2693</v>
      </c>
      <c r="CB76" s="83">
        <v>8</v>
      </c>
      <c r="CC76" s="83" t="s">
        <v>2699</v>
      </c>
      <c r="CD76" s="83" t="s">
        <v>2699</v>
      </c>
      <c r="CF76" s="83" t="s">
        <v>1948</v>
      </c>
      <c r="CG76" s="83" t="s">
        <v>1949</v>
      </c>
      <c r="CH76" s="83" t="s">
        <v>2695</v>
      </c>
      <c r="CI76" s="83" t="s">
        <v>648</v>
      </c>
      <c r="CJ76" s="83" t="s">
        <v>2726</v>
      </c>
      <c r="CK76" s="144">
        <v>0</v>
      </c>
      <c r="CL76" s="99">
        <v>37000</v>
      </c>
    </row>
    <row r="77" spans="1:90">
      <c r="A77" s="83" t="s">
        <v>1472</v>
      </c>
      <c r="B77" s="83" t="s">
        <v>3743</v>
      </c>
      <c r="D77" s="83" t="s">
        <v>688</v>
      </c>
      <c r="E77" s="83" t="s">
        <v>3743</v>
      </c>
      <c r="F77" s="83" t="s">
        <v>1704</v>
      </c>
      <c r="G77" s="83" t="s">
        <v>1828</v>
      </c>
      <c r="H77" s="83" t="s">
        <v>1201</v>
      </c>
      <c r="I77" s="83" t="s">
        <v>1202</v>
      </c>
      <c r="J77" s="83" t="s">
        <v>1203</v>
      </c>
      <c r="K77" s="83" t="s">
        <v>565</v>
      </c>
      <c r="L77" s="83" t="s">
        <v>398</v>
      </c>
      <c r="M77" s="83" t="s">
        <v>399</v>
      </c>
      <c r="N77" s="83" t="s">
        <v>1909</v>
      </c>
      <c r="O77" s="83" t="s">
        <v>106</v>
      </c>
      <c r="P77" s="83">
        <v>5</v>
      </c>
      <c r="Q77" s="83" t="s">
        <v>106</v>
      </c>
      <c r="R77" s="83" t="s">
        <v>2694</v>
      </c>
      <c r="S77" s="83" t="s">
        <v>2720</v>
      </c>
      <c r="T77" s="83" t="s">
        <v>2746</v>
      </c>
      <c r="U77" s="83" t="s">
        <v>401</v>
      </c>
      <c r="AC77" s="83" t="s">
        <v>401</v>
      </c>
      <c r="AD77" s="83">
        <v>983000</v>
      </c>
      <c r="AF77" s="83">
        <v>0</v>
      </c>
      <c r="AJ77" s="83">
        <v>1</v>
      </c>
      <c r="AK77" s="83">
        <v>1</v>
      </c>
      <c r="AL77" s="83">
        <v>9458</v>
      </c>
      <c r="AM77" s="83" t="s">
        <v>2693</v>
      </c>
      <c r="BK77" s="83" t="s">
        <v>2694</v>
      </c>
      <c r="BL77" s="83" t="s">
        <v>2697</v>
      </c>
      <c r="BM77" s="83" t="s">
        <v>2693</v>
      </c>
      <c r="BN77" s="83" t="s">
        <v>2698</v>
      </c>
      <c r="BO77" s="83" t="s">
        <v>2697</v>
      </c>
      <c r="BP77" s="83" t="s">
        <v>2693</v>
      </c>
      <c r="BQ77" s="83" t="s">
        <v>2696</v>
      </c>
      <c r="BR77" s="83" t="s">
        <v>2693</v>
      </c>
      <c r="BS77" s="83" t="s">
        <v>2699</v>
      </c>
      <c r="BT77" s="83" t="s">
        <v>2696</v>
      </c>
      <c r="BU77" s="83" t="s">
        <v>2699</v>
      </c>
      <c r="BV77" s="83" t="s">
        <v>2699</v>
      </c>
      <c r="BW77" s="83" t="s">
        <v>2699</v>
      </c>
      <c r="BX77" s="83" t="s">
        <v>2696</v>
      </c>
      <c r="BY77" s="83" t="s">
        <v>2699</v>
      </c>
      <c r="BZ77" s="83" t="s">
        <v>2693</v>
      </c>
      <c r="CA77" s="83" t="s">
        <v>2693</v>
      </c>
      <c r="CB77" s="83">
        <v>9</v>
      </c>
      <c r="CC77" s="83" t="s">
        <v>2699</v>
      </c>
      <c r="CD77" s="83" t="s">
        <v>2699</v>
      </c>
      <c r="CF77" s="83" t="s">
        <v>1950</v>
      </c>
      <c r="CG77" s="83" t="s">
        <v>1951</v>
      </c>
      <c r="CH77" s="83" t="s">
        <v>2725</v>
      </c>
      <c r="CI77" s="83" t="s">
        <v>1358</v>
      </c>
      <c r="CJ77" s="83" t="s">
        <v>2726</v>
      </c>
      <c r="CK77" s="144">
        <v>0</v>
      </c>
      <c r="CL77"/>
    </row>
    <row r="78" spans="1:90">
      <c r="A78" s="83" t="s">
        <v>1115</v>
      </c>
      <c r="B78" s="83" t="s">
        <v>2367</v>
      </c>
      <c r="D78" s="83" t="s">
        <v>688</v>
      </c>
      <c r="E78" s="83" t="s">
        <v>3424</v>
      </c>
      <c r="F78" s="83" t="s">
        <v>3425</v>
      </c>
      <c r="G78" s="83" t="s">
        <v>1155</v>
      </c>
      <c r="H78" s="83" t="s">
        <v>1201</v>
      </c>
      <c r="I78" s="83" t="s">
        <v>1202</v>
      </c>
      <c r="J78" s="83" t="s">
        <v>1203</v>
      </c>
      <c r="K78" s="83" t="s">
        <v>565</v>
      </c>
      <c r="L78" s="83" t="s">
        <v>398</v>
      </c>
      <c r="M78" s="83" t="s">
        <v>399</v>
      </c>
      <c r="N78" s="83" t="s">
        <v>3057</v>
      </c>
      <c r="O78" s="83" t="s">
        <v>106</v>
      </c>
      <c r="P78" s="83">
        <v>1</v>
      </c>
      <c r="Q78" s="83" t="s">
        <v>106</v>
      </c>
      <c r="R78" s="83" t="s">
        <v>2799</v>
      </c>
      <c r="S78" s="83" t="s">
        <v>2751</v>
      </c>
      <c r="T78" s="83" t="s">
        <v>2703</v>
      </c>
      <c r="U78" s="83" t="s">
        <v>401</v>
      </c>
      <c r="AC78" s="83" t="s">
        <v>401</v>
      </c>
      <c r="AD78" s="83">
        <v>242000</v>
      </c>
      <c r="AF78" s="83">
        <v>26000</v>
      </c>
      <c r="AJ78" s="83">
        <v>1</v>
      </c>
      <c r="AK78" s="83">
        <v>1</v>
      </c>
      <c r="AL78" s="83">
        <v>2523</v>
      </c>
      <c r="AM78" s="83" t="s">
        <v>2693</v>
      </c>
      <c r="BK78" s="83" t="s">
        <v>2694</v>
      </c>
      <c r="BL78" s="83" t="s">
        <v>2704</v>
      </c>
      <c r="BM78" s="83" t="s">
        <v>2725</v>
      </c>
      <c r="BN78" s="83" t="s">
        <v>2696</v>
      </c>
      <c r="BO78" s="83" t="s">
        <v>2697</v>
      </c>
      <c r="BP78" s="83" t="s">
        <v>2698</v>
      </c>
      <c r="BQ78" s="83" t="s">
        <v>2699</v>
      </c>
      <c r="BR78" s="83" t="s">
        <v>2693</v>
      </c>
      <c r="BS78" s="83" t="s">
        <v>2699</v>
      </c>
      <c r="BT78" s="83" t="s">
        <v>2696</v>
      </c>
      <c r="BU78" s="83" t="s">
        <v>2699</v>
      </c>
      <c r="BV78" s="83" t="s">
        <v>2699</v>
      </c>
      <c r="BW78" s="83" t="s">
        <v>2697</v>
      </c>
      <c r="BX78" s="83" t="s">
        <v>2696</v>
      </c>
      <c r="BY78" s="83" t="s">
        <v>2699</v>
      </c>
      <c r="BZ78" s="83" t="s">
        <v>2699</v>
      </c>
      <c r="CA78" s="83" t="s">
        <v>2693</v>
      </c>
      <c r="CB78" s="83" t="s">
        <v>2694</v>
      </c>
      <c r="CC78" s="83" t="s">
        <v>2696</v>
      </c>
      <c r="CD78" s="83" t="s">
        <v>2696</v>
      </c>
      <c r="CF78" s="83" t="s">
        <v>824</v>
      </c>
      <c r="CG78" s="83" t="s">
        <v>897</v>
      </c>
      <c r="CH78" s="83" t="s">
        <v>2699</v>
      </c>
      <c r="CI78" s="83" t="s">
        <v>2699</v>
      </c>
      <c r="CJ78" s="83" t="s">
        <v>2734</v>
      </c>
      <c r="CK78" s="144">
        <v>0</v>
      </c>
      <c r="CL78" s="99">
        <v>882000</v>
      </c>
    </row>
    <row r="79" spans="1:90">
      <c r="A79" s="83" t="s">
        <v>1113</v>
      </c>
      <c r="B79" s="83" t="s">
        <v>2368</v>
      </c>
      <c r="D79" s="83" t="s">
        <v>688</v>
      </c>
      <c r="E79" s="83" t="s">
        <v>3426</v>
      </c>
      <c r="F79" s="83" t="s">
        <v>3425</v>
      </c>
      <c r="G79" s="83" t="s">
        <v>1155</v>
      </c>
      <c r="H79" s="83" t="s">
        <v>1201</v>
      </c>
      <c r="I79" s="83" t="s">
        <v>1202</v>
      </c>
      <c r="J79" s="83" t="s">
        <v>1203</v>
      </c>
      <c r="K79" s="83" t="s">
        <v>565</v>
      </c>
      <c r="L79" s="83" t="s">
        <v>398</v>
      </c>
      <c r="M79" s="83" t="s">
        <v>399</v>
      </c>
      <c r="N79" s="83" t="s">
        <v>3057</v>
      </c>
      <c r="O79" s="83" t="s">
        <v>106</v>
      </c>
      <c r="P79" s="83">
        <v>5</v>
      </c>
      <c r="Q79" s="83" t="s">
        <v>106</v>
      </c>
      <c r="R79" s="83" t="s">
        <v>2799</v>
      </c>
      <c r="S79" s="83" t="s">
        <v>2692</v>
      </c>
      <c r="T79" s="83" t="s">
        <v>2716</v>
      </c>
      <c r="U79" s="83" t="s">
        <v>401</v>
      </c>
      <c r="AC79" s="83" t="s">
        <v>401</v>
      </c>
      <c r="AD79" s="83">
        <v>4850000</v>
      </c>
      <c r="AF79" s="83">
        <v>205000</v>
      </c>
      <c r="AJ79" s="83">
        <v>1</v>
      </c>
      <c r="AK79" s="83">
        <v>1</v>
      </c>
      <c r="AL79" s="83">
        <v>22160</v>
      </c>
      <c r="AM79" s="83" t="s">
        <v>2693</v>
      </c>
      <c r="BK79" s="83" t="s">
        <v>2694</v>
      </c>
      <c r="BL79" s="83" t="s">
        <v>2695</v>
      </c>
      <c r="BM79" s="83" t="s">
        <v>2698</v>
      </c>
      <c r="BN79" s="83" t="s">
        <v>2698</v>
      </c>
      <c r="BO79" s="83" t="s">
        <v>2693</v>
      </c>
      <c r="BP79" s="83" t="s">
        <v>2699</v>
      </c>
      <c r="BQ79" s="83" t="s">
        <v>2699</v>
      </c>
      <c r="BR79" s="83" t="s">
        <v>2693</v>
      </c>
      <c r="BS79" s="83" t="s">
        <v>2699</v>
      </c>
      <c r="BT79" s="83" t="s">
        <v>2696</v>
      </c>
      <c r="BU79" s="83" t="s">
        <v>2699</v>
      </c>
      <c r="BV79" s="83" t="s">
        <v>2697</v>
      </c>
      <c r="BW79" s="83" t="s">
        <v>2698</v>
      </c>
      <c r="BX79" s="83" t="s">
        <v>2696</v>
      </c>
      <c r="BY79" s="83" t="s">
        <v>2699</v>
      </c>
      <c r="BZ79" s="83" t="s">
        <v>2699</v>
      </c>
      <c r="CA79" s="83" t="s">
        <v>2693</v>
      </c>
      <c r="CB79" s="83">
        <v>9</v>
      </c>
      <c r="CC79" s="83" t="s">
        <v>2699</v>
      </c>
      <c r="CD79" s="83" t="s">
        <v>2699</v>
      </c>
      <c r="CF79" s="83" t="s">
        <v>888</v>
      </c>
      <c r="CG79" s="83" t="s">
        <v>889</v>
      </c>
      <c r="CH79" s="83" t="s">
        <v>2725</v>
      </c>
      <c r="CI79" s="83" t="s">
        <v>778</v>
      </c>
      <c r="CJ79" s="83" t="s">
        <v>2780</v>
      </c>
      <c r="CK79" s="144">
        <v>1</v>
      </c>
      <c r="CL79"/>
    </row>
    <row r="80" spans="1:90">
      <c r="A80" s="83" t="s">
        <v>1116</v>
      </c>
      <c r="B80" s="83" t="s">
        <v>2369</v>
      </c>
      <c r="D80" s="83" t="s">
        <v>688</v>
      </c>
      <c r="E80" s="83" t="s">
        <v>3427</v>
      </c>
      <c r="F80" s="83" t="s">
        <v>3425</v>
      </c>
      <c r="G80" s="83" t="s">
        <v>1155</v>
      </c>
      <c r="H80" s="83" t="s">
        <v>1201</v>
      </c>
      <c r="I80" s="83" t="s">
        <v>1202</v>
      </c>
      <c r="J80" s="83" t="s">
        <v>1203</v>
      </c>
      <c r="K80" s="83" t="s">
        <v>565</v>
      </c>
      <c r="L80" s="83" t="s">
        <v>398</v>
      </c>
      <c r="M80" s="83" t="s">
        <v>399</v>
      </c>
      <c r="N80" s="83" t="s">
        <v>3057</v>
      </c>
      <c r="O80" s="83" t="s">
        <v>106</v>
      </c>
      <c r="P80" s="83">
        <v>4</v>
      </c>
      <c r="Q80" s="83" t="s">
        <v>106</v>
      </c>
      <c r="R80" s="83" t="s">
        <v>2799</v>
      </c>
      <c r="S80" s="83" t="s">
        <v>2751</v>
      </c>
      <c r="T80" s="83" t="s">
        <v>2703</v>
      </c>
      <c r="U80" s="83" t="s">
        <v>401</v>
      </c>
      <c r="AC80" s="83" t="s">
        <v>401</v>
      </c>
      <c r="AD80" s="83">
        <v>113000</v>
      </c>
      <c r="AF80" s="83">
        <v>28000</v>
      </c>
      <c r="AJ80" s="83">
        <v>1</v>
      </c>
      <c r="AK80" s="83">
        <v>1</v>
      </c>
      <c r="AL80" s="83">
        <v>2956</v>
      </c>
      <c r="AM80" s="83" t="s">
        <v>2693</v>
      </c>
      <c r="BK80" s="83" t="s">
        <v>2694</v>
      </c>
      <c r="BL80" s="83" t="s">
        <v>2693</v>
      </c>
      <c r="BM80" s="83" t="s">
        <v>2698</v>
      </c>
      <c r="BN80" s="83" t="s">
        <v>2698</v>
      </c>
      <c r="BO80" s="83" t="s">
        <v>2697</v>
      </c>
      <c r="BP80" s="83" t="s">
        <v>2695</v>
      </c>
      <c r="BQ80" s="83" t="s">
        <v>2699</v>
      </c>
      <c r="BR80" s="83" t="s">
        <v>2693</v>
      </c>
      <c r="BS80" s="83" t="s">
        <v>2699</v>
      </c>
      <c r="BT80" s="83" t="s">
        <v>2696</v>
      </c>
      <c r="BU80" s="83" t="s">
        <v>2699</v>
      </c>
      <c r="BV80" s="83" t="s">
        <v>2697</v>
      </c>
      <c r="BW80" s="83" t="s">
        <v>2698</v>
      </c>
      <c r="BX80" s="83" t="s">
        <v>2696</v>
      </c>
      <c r="BY80" s="83" t="s">
        <v>2699</v>
      </c>
      <c r="BZ80" s="83" t="s">
        <v>2699</v>
      </c>
      <c r="CA80" s="83" t="s">
        <v>2693</v>
      </c>
      <c r="CB80" s="83" t="s">
        <v>2694</v>
      </c>
      <c r="CC80" s="83" t="s">
        <v>2699</v>
      </c>
      <c r="CD80" s="83" t="s">
        <v>2696</v>
      </c>
      <c r="CF80" s="83" t="s">
        <v>898</v>
      </c>
      <c r="CG80" s="83" t="s">
        <v>899</v>
      </c>
      <c r="CH80" s="83" t="s">
        <v>2693</v>
      </c>
      <c r="CI80" s="83" t="s">
        <v>3992</v>
      </c>
      <c r="CJ80" s="83" t="s">
        <v>2701</v>
      </c>
      <c r="CK80" s="144">
        <v>0</v>
      </c>
      <c r="CL80"/>
    </row>
    <row r="81" spans="1:90">
      <c r="A81" s="83" t="s">
        <v>1116</v>
      </c>
      <c r="B81" s="83" t="s">
        <v>2369</v>
      </c>
      <c r="D81" s="83" t="s">
        <v>673</v>
      </c>
      <c r="E81" s="83" t="s">
        <v>3428</v>
      </c>
      <c r="F81" s="83" t="s">
        <v>3425</v>
      </c>
      <c r="G81" s="83" t="s">
        <v>1155</v>
      </c>
      <c r="H81" s="83" t="s">
        <v>1201</v>
      </c>
      <c r="I81" s="83" t="s">
        <v>1202</v>
      </c>
      <c r="J81" s="83" t="s">
        <v>1203</v>
      </c>
      <c r="K81" s="83" t="s">
        <v>565</v>
      </c>
      <c r="L81" s="83" t="s">
        <v>398</v>
      </c>
      <c r="M81" s="83" t="s">
        <v>399</v>
      </c>
      <c r="N81" s="83" t="s">
        <v>3057</v>
      </c>
      <c r="O81" s="83" t="s">
        <v>106</v>
      </c>
      <c r="P81" s="83">
        <v>4</v>
      </c>
      <c r="Q81" s="83" t="s">
        <v>106</v>
      </c>
      <c r="R81" s="83" t="s">
        <v>2799</v>
      </c>
      <c r="S81" s="83" t="s">
        <v>2751</v>
      </c>
      <c r="T81" s="83" t="s">
        <v>2703</v>
      </c>
      <c r="U81" s="83" t="s">
        <v>401</v>
      </c>
      <c r="AC81" s="83" t="s">
        <v>401</v>
      </c>
      <c r="AD81" s="83">
        <v>35000</v>
      </c>
      <c r="AF81" s="83">
        <v>19000</v>
      </c>
      <c r="AJ81" s="83">
        <v>1</v>
      </c>
      <c r="AK81" s="83">
        <v>1</v>
      </c>
      <c r="AL81" s="83">
        <v>1444</v>
      </c>
      <c r="AM81" s="83" t="s">
        <v>2693</v>
      </c>
      <c r="BK81" s="83" t="s">
        <v>2694</v>
      </c>
      <c r="BL81" s="83" t="s">
        <v>2693</v>
      </c>
      <c r="BM81" s="83" t="s">
        <v>2698</v>
      </c>
      <c r="BN81" s="83" t="s">
        <v>2698</v>
      </c>
      <c r="BO81" s="83" t="s">
        <v>2697</v>
      </c>
      <c r="BP81" s="83" t="s">
        <v>2695</v>
      </c>
      <c r="BQ81" s="83" t="s">
        <v>2699</v>
      </c>
      <c r="BR81" s="83" t="s">
        <v>2693</v>
      </c>
      <c r="BS81" s="83" t="s">
        <v>2699</v>
      </c>
      <c r="BT81" s="83" t="s">
        <v>2696</v>
      </c>
      <c r="BU81" s="83" t="s">
        <v>2699</v>
      </c>
      <c r="BV81" s="83" t="s">
        <v>2697</v>
      </c>
      <c r="BW81" s="83" t="s">
        <v>2698</v>
      </c>
      <c r="BX81" s="83" t="s">
        <v>2696</v>
      </c>
      <c r="BY81" s="83" t="s">
        <v>2699</v>
      </c>
      <c r="BZ81" s="83" t="s">
        <v>2699</v>
      </c>
      <c r="CA81" s="83" t="s">
        <v>2693</v>
      </c>
      <c r="CB81" s="83" t="s">
        <v>2694</v>
      </c>
      <c r="CC81" s="83" t="s">
        <v>2696</v>
      </c>
      <c r="CD81" s="83" t="s">
        <v>2696</v>
      </c>
      <c r="CF81" s="83" t="s">
        <v>900</v>
      </c>
      <c r="CG81" s="83" t="s">
        <v>901</v>
      </c>
      <c r="CH81" s="83" t="s">
        <v>2693</v>
      </c>
      <c r="CI81" s="83" t="s">
        <v>3992</v>
      </c>
      <c r="CJ81" s="83" t="s">
        <v>2701</v>
      </c>
      <c r="CK81" s="144">
        <v>0</v>
      </c>
      <c r="CL81"/>
    </row>
    <row r="82" spans="1:90">
      <c r="A82" s="83" t="s">
        <v>1141</v>
      </c>
      <c r="B82" s="83" t="s">
        <v>2370</v>
      </c>
      <c r="D82" s="83" t="s">
        <v>688</v>
      </c>
      <c r="E82" s="83" t="s">
        <v>2371</v>
      </c>
      <c r="F82" s="83" t="s">
        <v>3425</v>
      </c>
      <c r="G82" s="83" t="s">
        <v>1155</v>
      </c>
      <c r="H82" s="83" t="s">
        <v>1201</v>
      </c>
      <c r="I82" s="83" t="s">
        <v>1202</v>
      </c>
      <c r="J82" s="83" t="s">
        <v>1203</v>
      </c>
      <c r="K82" s="83" t="s">
        <v>565</v>
      </c>
      <c r="L82" s="83" t="s">
        <v>398</v>
      </c>
      <c r="M82" s="83" t="s">
        <v>399</v>
      </c>
      <c r="N82" s="83" t="s">
        <v>3057</v>
      </c>
      <c r="O82" s="83" t="s">
        <v>106</v>
      </c>
      <c r="P82" s="83">
        <v>4</v>
      </c>
      <c r="Q82" s="83" t="s">
        <v>106</v>
      </c>
      <c r="R82" s="83" t="s">
        <v>2799</v>
      </c>
      <c r="S82" s="83" t="s">
        <v>2736</v>
      </c>
      <c r="T82" s="83" t="s">
        <v>2703</v>
      </c>
      <c r="U82" s="83" t="s">
        <v>401</v>
      </c>
      <c r="AC82" s="83" t="s">
        <v>401</v>
      </c>
      <c r="AD82" s="83">
        <v>113000</v>
      </c>
      <c r="AF82" s="83">
        <v>14000</v>
      </c>
      <c r="AJ82" s="83">
        <v>1</v>
      </c>
      <c r="AK82" s="83">
        <v>1</v>
      </c>
      <c r="AL82" s="83">
        <v>2304</v>
      </c>
      <c r="AM82" s="83" t="s">
        <v>2693</v>
      </c>
      <c r="BK82" s="83" t="s">
        <v>2694</v>
      </c>
      <c r="BL82" s="83" t="s">
        <v>2693</v>
      </c>
      <c r="BM82" s="83" t="s">
        <v>2698</v>
      </c>
      <c r="BN82" s="83" t="s">
        <v>2698</v>
      </c>
      <c r="BO82" s="83" t="s">
        <v>2697</v>
      </c>
      <c r="BP82" s="83" t="s">
        <v>2695</v>
      </c>
      <c r="BQ82" s="83" t="s">
        <v>2699</v>
      </c>
      <c r="BR82" s="83" t="s">
        <v>2693</v>
      </c>
      <c r="BS82" s="83" t="s">
        <v>2699</v>
      </c>
      <c r="BT82" s="83" t="s">
        <v>2696</v>
      </c>
      <c r="BU82" s="83" t="s">
        <v>2699</v>
      </c>
      <c r="BV82" s="83" t="s">
        <v>2697</v>
      </c>
      <c r="BW82" s="83" t="s">
        <v>2698</v>
      </c>
      <c r="BX82" s="83" t="s">
        <v>2696</v>
      </c>
      <c r="BY82" s="83" t="s">
        <v>2699</v>
      </c>
      <c r="BZ82" s="83" t="s">
        <v>2699</v>
      </c>
      <c r="CA82" s="83" t="s">
        <v>2693</v>
      </c>
      <c r="CB82" s="83">
        <v>9</v>
      </c>
      <c r="CC82" s="83" t="s">
        <v>2699</v>
      </c>
      <c r="CD82" s="83" t="s">
        <v>2696</v>
      </c>
      <c r="CF82" s="83" t="s">
        <v>913</v>
      </c>
      <c r="CG82" s="83" t="s">
        <v>914</v>
      </c>
      <c r="CH82" s="83" t="s">
        <v>2693</v>
      </c>
      <c r="CI82" s="83" t="s">
        <v>3992</v>
      </c>
      <c r="CJ82" s="83" t="s">
        <v>2701</v>
      </c>
      <c r="CK82" s="144">
        <v>2</v>
      </c>
      <c r="CL82"/>
    </row>
    <row r="83" spans="1:90">
      <c r="A83" s="83" t="s">
        <v>1119</v>
      </c>
      <c r="B83" s="83" t="s">
        <v>2372</v>
      </c>
      <c r="D83" s="83" t="s">
        <v>688</v>
      </c>
      <c r="E83" s="83" t="s">
        <v>2373</v>
      </c>
      <c r="F83" s="83" t="s">
        <v>3425</v>
      </c>
      <c r="G83" s="83" t="s">
        <v>1155</v>
      </c>
      <c r="H83" s="83" t="s">
        <v>1201</v>
      </c>
      <c r="I83" s="83" t="s">
        <v>1202</v>
      </c>
      <c r="J83" s="83" t="s">
        <v>1203</v>
      </c>
      <c r="K83" s="83" t="s">
        <v>565</v>
      </c>
      <c r="L83" s="83" t="s">
        <v>398</v>
      </c>
      <c r="M83" s="83" t="s">
        <v>399</v>
      </c>
      <c r="N83" s="83" t="s">
        <v>3057</v>
      </c>
      <c r="O83" s="83" t="s">
        <v>106</v>
      </c>
      <c r="P83" s="83">
        <v>9</v>
      </c>
      <c r="Q83" s="83" t="s">
        <v>106</v>
      </c>
      <c r="R83" s="83" t="s">
        <v>2799</v>
      </c>
      <c r="S83" s="83" t="s">
        <v>2736</v>
      </c>
      <c r="T83" s="83" t="s">
        <v>2703</v>
      </c>
      <c r="U83" s="83" t="s">
        <v>401</v>
      </c>
      <c r="AC83" s="83" t="s">
        <v>401</v>
      </c>
      <c r="AD83" s="83">
        <v>49000</v>
      </c>
      <c r="AF83" s="83">
        <v>0</v>
      </c>
      <c r="AJ83" s="83">
        <v>1</v>
      </c>
      <c r="AK83" s="83">
        <v>1</v>
      </c>
      <c r="AL83" s="83">
        <v>4320</v>
      </c>
      <c r="AM83" s="83" t="s">
        <v>2693</v>
      </c>
      <c r="BK83" s="83" t="s">
        <v>2694</v>
      </c>
      <c r="BL83" s="83" t="s">
        <v>2696</v>
      </c>
      <c r="BM83" s="83" t="s">
        <v>2698</v>
      </c>
      <c r="BN83" s="83" t="s">
        <v>2698</v>
      </c>
      <c r="BO83" s="83" t="s">
        <v>2697</v>
      </c>
      <c r="BP83" s="83" t="s">
        <v>2697</v>
      </c>
      <c r="BQ83" s="83" t="s">
        <v>2699</v>
      </c>
      <c r="BR83" s="83" t="s">
        <v>2693</v>
      </c>
      <c r="BS83" s="83" t="s">
        <v>2699</v>
      </c>
      <c r="BT83" s="83" t="s">
        <v>2696</v>
      </c>
      <c r="BU83" s="83" t="s">
        <v>2699</v>
      </c>
      <c r="BV83" s="83" t="s">
        <v>2697</v>
      </c>
      <c r="BW83" s="83" t="s">
        <v>2696</v>
      </c>
      <c r="BX83" s="83" t="s">
        <v>2696</v>
      </c>
      <c r="BY83" s="83" t="s">
        <v>2699</v>
      </c>
      <c r="BZ83" s="83" t="s">
        <v>2699</v>
      </c>
      <c r="CA83" s="83" t="s">
        <v>2693</v>
      </c>
      <c r="CB83" s="83" t="s">
        <v>2694</v>
      </c>
      <c r="CC83" s="83" t="s">
        <v>2696</v>
      </c>
      <c r="CD83" s="83" t="s">
        <v>2696</v>
      </c>
      <c r="CF83" s="83" t="s">
        <v>877</v>
      </c>
      <c r="CG83" s="83" t="s">
        <v>918</v>
      </c>
      <c r="CH83" s="83" t="s">
        <v>2697</v>
      </c>
      <c r="CI83" s="83" t="s">
        <v>648</v>
      </c>
      <c r="CJ83" s="83" t="s">
        <v>2757</v>
      </c>
      <c r="CK83" s="144">
        <v>0</v>
      </c>
      <c r="CL83"/>
    </row>
    <row r="84" spans="1:90">
      <c r="A84" s="83" t="s">
        <v>1119</v>
      </c>
      <c r="B84" s="83" t="s">
        <v>2372</v>
      </c>
      <c r="D84" s="83" t="s">
        <v>673</v>
      </c>
      <c r="E84" s="83" t="s">
        <v>2374</v>
      </c>
      <c r="F84" s="83" t="s">
        <v>3425</v>
      </c>
      <c r="G84" s="83" t="s">
        <v>1155</v>
      </c>
      <c r="H84" s="83" t="s">
        <v>1201</v>
      </c>
      <c r="I84" s="83" t="s">
        <v>1202</v>
      </c>
      <c r="J84" s="83" t="s">
        <v>1203</v>
      </c>
      <c r="K84" s="83" t="s">
        <v>565</v>
      </c>
      <c r="L84" s="83" t="s">
        <v>398</v>
      </c>
      <c r="M84" s="83" t="s">
        <v>399</v>
      </c>
      <c r="N84" s="83" t="s">
        <v>3057</v>
      </c>
      <c r="O84" s="83" t="s">
        <v>106</v>
      </c>
      <c r="P84" s="83">
        <v>9</v>
      </c>
      <c r="Q84" s="83" t="s">
        <v>106</v>
      </c>
      <c r="R84" s="83" t="s">
        <v>2799</v>
      </c>
      <c r="S84" s="83" t="s">
        <v>2736</v>
      </c>
      <c r="T84" s="83" t="s">
        <v>2703</v>
      </c>
      <c r="U84" s="83" t="s">
        <v>401</v>
      </c>
      <c r="AC84" s="83" t="s">
        <v>401</v>
      </c>
      <c r="AD84" s="83">
        <v>56000</v>
      </c>
      <c r="AF84" s="83">
        <v>21000</v>
      </c>
      <c r="AJ84" s="83">
        <v>1</v>
      </c>
      <c r="AK84" s="83">
        <v>1</v>
      </c>
      <c r="AL84" s="83">
        <v>2244</v>
      </c>
      <c r="AM84" s="83" t="s">
        <v>2693</v>
      </c>
      <c r="BK84" s="83" t="s">
        <v>2694</v>
      </c>
      <c r="BL84" s="83" t="s">
        <v>2696</v>
      </c>
      <c r="BM84" s="83" t="s">
        <v>2698</v>
      </c>
      <c r="BN84" s="83" t="s">
        <v>2698</v>
      </c>
      <c r="BO84" s="83" t="s">
        <v>2697</v>
      </c>
      <c r="BP84" s="83" t="s">
        <v>2697</v>
      </c>
      <c r="BQ84" s="83" t="s">
        <v>2699</v>
      </c>
      <c r="BR84" s="83" t="s">
        <v>2693</v>
      </c>
      <c r="BS84" s="83" t="s">
        <v>2699</v>
      </c>
      <c r="BT84" s="83" t="s">
        <v>2696</v>
      </c>
      <c r="BU84" s="83" t="s">
        <v>2699</v>
      </c>
      <c r="BV84" s="83" t="s">
        <v>2697</v>
      </c>
      <c r="BW84" s="83" t="s">
        <v>2696</v>
      </c>
      <c r="BX84" s="83" t="s">
        <v>2696</v>
      </c>
      <c r="BY84" s="83" t="s">
        <v>2699</v>
      </c>
      <c r="BZ84" s="83" t="s">
        <v>2699</v>
      </c>
      <c r="CA84" s="83" t="s">
        <v>2693</v>
      </c>
      <c r="CB84" s="83" t="s">
        <v>2694</v>
      </c>
      <c r="CC84" s="83" t="s">
        <v>2696</v>
      </c>
      <c r="CD84" s="83" t="s">
        <v>2696</v>
      </c>
      <c r="CF84" s="83" t="s">
        <v>919</v>
      </c>
      <c r="CG84" s="83" t="s">
        <v>773</v>
      </c>
      <c r="CH84" s="83" t="s">
        <v>2697</v>
      </c>
      <c r="CI84" s="83" t="s">
        <v>648</v>
      </c>
      <c r="CJ84" s="83" t="s">
        <v>2757</v>
      </c>
      <c r="CK84" s="144">
        <v>0</v>
      </c>
      <c r="CL84"/>
    </row>
    <row r="85" spans="1:90">
      <c r="A85" s="83" t="s">
        <v>1114</v>
      </c>
      <c r="B85" s="83" t="s">
        <v>2375</v>
      </c>
      <c r="D85" s="83" t="s">
        <v>688</v>
      </c>
      <c r="E85" s="83" t="s">
        <v>3429</v>
      </c>
      <c r="F85" s="83" t="s">
        <v>3425</v>
      </c>
      <c r="G85" s="83" t="s">
        <v>1155</v>
      </c>
      <c r="H85" s="83" t="s">
        <v>1201</v>
      </c>
      <c r="I85" s="83" t="s">
        <v>1202</v>
      </c>
      <c r="J85" s="83" t="s">
        <v>1203</v>
      </c>
      <c r="K85" s="83" t="s">
        <v>565</v>
      </c>
      <c r="L85" s="83" t="s">
        <v>398</v>
      </c>
      <c r="M85" s="83" t="s">
        <v>399</v>
      </c>
      <c r="N85" s="83" t="s">
        <v>3057</v>
      </c>
      <c r="O85" s="83" t="s">
        <v>106</v>
      </c>
      <c r="P85" s="83">
        <v>4</v>
      </c>
      <c r="Q85" s="83" t="s">
        <v>106</v>
      </c>
      <c r="R85" s="83" t="s">
        <v>2799</v>
      </c>
      <c r="S85" s="83" t="s">
        <v>2712</v>
      </c>
      <c r="T85" s="83" t="s">
        <v>2703</v>
      </c>
      <c r="U85" s="83" t="s">
        <v>401</v>
      </c>
      <c r="AC85" s="83" t="s">
        <v>401</v>
      </c>
      <c r="AD85" s="83">
        <v>236000</v>
      </c>
      <c r="AF85" s="83">
        <v>49000</v>
      </c>
      <c r="AJ85" s="83">
        <v>1</v>
      </c>
      <c r="AK85" s="83">
        <v>1</v>
      </c>
      <c r="AL85" s="83">
        <v>5214</v>
      </c>
      <c r="AM85" s="83" t="s">
        <v>2693</v>
      </c>
      <c r="BK85" s="83" t="s">
        <v>2694</v>
      </c>
      <c r="BL85" s="83" t="s">
        <v>2695</v>
      </c>
      <c r="BM85" s="83" t="s">
        <v>2693</v>
      </c>
      <c r="BN85" s="83" t="s">
        <v>2698</v>
      </c>
      <c r="BO85" s="83" t="s">
        <v>2697</v>
      </c>
      <c r="BP85" s="83" t="s">
        <v>2695</v>
      </c>
      <c r="BQ85" s="83" t="s">
        <v>2699</v>
      </c>
      <c r="BR85" s="83" t="s">
        <v>2693</v>
      </c>
      <c r="BS85" s="83" t="s">
        <v>2699</v>
      </c>
      <c r="BT85" s="83" t="s">
        <v>2696</v>
      </c>
      <c r="BU85" s="83" t="s">
        <v>2699</v>
      </c>
      <c r="BV85" s="83" t="s">
        <v>2697</v>
      </c>
      <c r="BW85" s="83" t="s">
        <v>2698</v>
      </c>
      <c r="BX85" s="83" t="s">
        <v>2696</v>
      </c>
      <c r="BY85" s="83" t="s">
        <v>2699</v>
      </c>
      <c r="BZ85" s="83" t="s">
        <v>2699</v>
      </c>
      <c r="CA85" s="83" t="s">
        <v>2693</v>
      </c>
      <c r="CB85" s="83">
        <v>9</v>
      </c>
      <c r="CC85" s="83" t="s">
        <v>2699</v>
      </c>
      <c r="CD85" s="83" t="s">
        <v>2696</v>
      </c>
      <c r="CF85" s="83" t="s">
        <v>890</v>
      </c>
      <c r="CG85" s="83" t="s">
        <v>891</v>
      </c>
      <c r="CH85" s="83" t="s">
        <v>2693</v>
      </c>
      <c r="CI85" s="83" t="s">
        <v>3992</v>
      </c>
      <c r="CJ85" s="83" t="s">
        <v>2701</v>
      </c>
      <c r="CK85" s="144">
        <v>0</v>
      </c>
      <c r="CL85"/>
    </row>
    <row r="86" spans="1:90">
      <c r="A86" s="83" t="s">
        <v>868</v>
      </c>
      <c r="B86" s="83" t="s">
        <v>2376</v>
      </c>
      <c r="D86" s="83" t="s">
        <v>688</v>
      </c>
      <c r="E86" s="83" t="s">
        <v>2377</v>
      </c>
      <c r="F86" s="83" t="s">
        <v>3425</v>
      </c>
      <c r="G86" s="83" t="s">
        <v>1155</v>
      </c>
      <c r="H86" s="83" t="s">
        <v>1201</v>
      </c>
      <c r="I86" s="83" t="s">
        <v>1202</v>
      </c>
      <c r="J86" s="83" t="s">
        <v>1203</v>
      </c>
      <c r="K86" s="83" t="s">
        <v>565</v>
      </c>
      <c r="L86" s="83" t="s">
        <v>398</v>
      </c>
      <c r="M86" s="83" t="s">
        <v>399</v>
      </c>
      <c r="N86" s="83" t="s">
        <v>3057</v>
      </c>
      <c r="O86" s="83" t="s">
        <v>106</v>
      </c>
      <c r="P86" s="83">
        <v>8</v>
      </c>
      <c r="Q86" s="83" t="s">
        <v>106</v>
      </c>
      <c r="R86" s="83" t="s">
        <v>2799</v>
      </c>
      <c r="S86" s="83" t="s">
        <v>2736</v>
      </c>
      <c r="T86" s="83" t="s">
        <v>2703</v>
      </c>
      <c r="U86" s="83" t="s">
        <v>401</v>
      </c>
      <c r="AC86" s="83" t="s">
        <v>401</v>
      </c>
      <c r="AD86" s="83">
        <v>490000</v>
      </c>
      <c r="AF86" s="83">
        <v>150000</v>
      </c>
      <c r="AJ86" s="83">
        <v>1</v>
      </c>
      <c r="AK86" s="83">
        <v>1</v>
      </c>
      <c r="AL86" s="83">
        <v>12340</v>
      </c>
      <c r="AM86" s="83" t="s">
        <v>2693</v>
      </c>
      <c r="BK86" s="83" t="s">
        <v>2694</v>
      </c>
      <c r="BL86" s="83" t="s">
        <v>2693</v>
      </c>
      <c r="BM86" s="83" t="s">
        <v>2698</v>
      </c>
      <c r="BN86" s="83" t="s">
        <v>2698</v>
      </c>
      <c r="BO86" s="83" t="s">
        <v>2697</v>
      </c>
      <c r="BP86" s="83" t="s">
        <v>2695</v>
      </c>
      <c r="BQ86" s="83" t="s">
        <v>2699</v>
      </c>
      <c r="BR86" s="83" t="s">
        <v>2693</v>
      </c>
      <c r="BS86" s="83" t="s">
        <v>2699</v>
      </c>
      <c r="BT86" s="83" t="s">
        <v>2696</v>
      </c>
      <c r="BU86" s="83" t="s">
        <v>2699</v>
      </c>
      <c r="BV86" s="83" t="s">
        <v>2697</v>
      </c>
      <c r="BW86" s="83" t="s">
        <v>2698</v>
      </c>
      <c r="BX86" s="83" t="s">
        <v>2696</v>
      </c>
      <c r="BY86" s="83" t="s">
        <v>2699</v>
      </c>
      <c r="BZ86" s="83" t="s">
        <v>2699</v>
      </c>
      <c r="CA86" s="83" t="s">
        <v>2693</v>
      </c>
      <c r="CB86" s="83" t="s">
        <v>2694</v>
      </c>
      <c r="CC86" s="83" t="s">
        <v>2696</v>
      </c>
      <c r="CD86" s="83" t="s">
        <v>2696</v>
      </c>
      <c r="CF86" s="83" t="s">
        <v>892</v>
      </c>
      <c r="CG86" s="83" t="s">
        <v>893</v>
      </c>
      <c r="CH86" s="83">
        <v>4</v>
      </c>
      <c r="CI86" s="83" t="s">
        <v>648</v>
      </c>
      <c r="CJ86" s="83" t="s">
        <v>2863</v>
      </c>
      <c r="CK86" s="144">
        <v>14</v>
      </c>
      <c r="CL86" s="99">
        <v>4000</v>
      </c>
    </row>
    <row r="87" spans="1:90">
      <c r="A87" s="83" t="s">
        <v>868</v>
      </c>
      <c r="B87" s="83" t="s">
        <v>2376</v>
      </c>
      <c r="D87" s="83" t="s">
        <v>673</v>
      </c>
      <c r="E87" s="83" t="s">
        <v>869</v>
      </c>
      <c r="F87" s="83" t="s">
        <v>3425</v>
      </c>
      <c r="G87" s="83" t="s">
        <v>1155</v>
      </c>
      <c r="H87" s="83" t="s">
        <v>1201</v>
      </c>
      <c r="I87" s="83" t="s">
        <v>1202</v>
      </c>
      <c r="J87" s="83" t="s">
        <v>1203</v>
      </c>
      <c r="K87" s="83" t="s">
        <v>565</v>
      </c>
      <c r="L87" s="83" t="s">
        <v>398</v>
      </c>
      <c r="M87" s="83" t="s">
        <v>399</v>
      </c>
      <c r="N87" s="83" t="s">
        <v>3057</v>
      </c>
      <c r="O87" s="83" t="s">
        <v>106</v>
      </c>
      <c r="P87" s="83">
        <v>4</v>
      </c>
      <c r="Q87" s="83" t="s">
        <v>106</v>
      </c>
      <c r="R87" s="83" t="s">
        <v>2799</v>
      </c>
      <c r="S87" s="83" t="s">
        <v>2736</v>
      </c>
      <c r="T87" s="83" t="s">
        <v>2703</v>
      </c>
      <c r="U87" s="83" t="s">
        <v>401</v>
      </c>
      <c r="AC87" s="83" t="s">
        <v>401</v>
      </c>
      <c r="AD87" s="83">
        <v>61000</v>
      </c>
      <c r="AF87" s="83">
        <v>14000</v>
      </c>
      <c r="AJ87" s="83">
        <v>1</v>
      </c>
      <c r="AK87" s="83">
        <v>1</v>
      </c>
      <c r="AL87" s="83">
        <v>1086</v>
      </c>
      <c r="AM87" s="83" t="s">
        <v>2693</v>
      </c>
      <c r="BK87" s="83" t="s">
        <v>2694</v>
      </c>
      <c r="BL87" s="83" t="s">
        <v>2704</v>
      </c>
      <c r="BM87" s="83" t="s">
        <v>2698</v>
      </c>
      <c r="BN87" s="83" t="s">
        <v>2698</v>
      </c>
      <c r="BO87" s="83" t="s">
        <v>2697</v>
      </c>
      <c r="BP87" s="83" t="s">
        <v>2695</v>
      </c>
      <c r="BQ87" s="83" t="s">
        <v>2699</v>
      </c>
      <c r="BR87" s="83" t="s">
        <v>2693</v>
      </c>
      <c r="BS87" s="83" t="s">
        <v>2699</v>
      </c>
      <c r="BT87" s="83" t="s">
        <v>2696</v>
      </c>
      <c r="BU87" s="83" t="s">
        <v>2699</v>
      </c>
      <c r="BV87" s="83" t="s">
        <v>2697</v>
      </c>
      <c r="BW87" s="83" t="s">
        <v>2698</v>
      </c>
      <c r="BX87" s="83" t="s">
        <v>2696</v>
      </c>
      <c r="BY87" s="83" t="s">
        <v>2699</v>
      </c>
      <c r="BZ87" s="83" t="s">
        <v>2699</v>
      </c>
      <c r="CA87" s="83" t="s">
        <v>2693</v>
      </c>
      <c r="CB87" s="83" t="s">
        <v>2694</v>
      </c>
      <c r="CC87" s="83" t="s">
        <v>2696</v>
      </c>
      <c r="CD87" s="83" t="s">
        <v>2696</v>
      </c>
      <c r="CF87" s="83" t="s">
        <v>870</v>
      </c>
      <c r="CG87" s="83" t="s">
        <v>871</v>
      </c>
      <c r="CH87" s="83" t="s">
        <v>2693</v>
      </c>
      <c r="CI87" s="83" t="s">
        <v>3992</v>
      </c>
      <c r="CJ87" s="83" t="s">
        <v>2701</v>
      </c>
      <c r="CK87" s="144">
        <v>0</v>
      </c>
      <c r="CL87"/>
    </row>
    <row r="88" spans="1:90">
      <c r="A88" s="83" t="s">
        <v>868</v>
      </c>
      <c r="B88" s="83" t="s">
        <v>2376</v>
      </c>
      <c r="D88" s="83" t="s">
        <v>714</v>
      </c>
      <c r="E88" s="83" t="s">
        <v>768</v>
      </c>
      <c r="F88" s="83" t="s">
        <v>3425</v>
      </c>
      <c r="G88" s="83" t="s">
        <v>1155</v>
      </c>
      <c r="H88" s="83" t="s">
        <v>1201</v>
      </c>
      <c r="I88" s="83" t="s">
        <v>1202</v>
      </c>
      <c r="J88" s="83" t="s">
        <v>1203</v>
      </c>
      <c r="K88" s="83" t="s">
        <v>565</v>
      </c>
      <c r="L88" s="83" t="s">
        <v>398</v>
      </c>
      <c r="M88" s="83" t="s">
        <v>399</v>
      </c>
      <c r="N88" s="83" t="s">
        <v>3057</v>
      </c>
      <c r="O88" s="83" t="s">
        <v>106</v>
      </c>
      <c r="P88" s="83">
        <v>4</v>
      </c>
      <c r="Q88" s="83" t="s">
        <v>106</v>
      </c>
      <c r="R88" s="83">
        <v>40</v>
      </c>
      <c r="S88" s="83" t="s">
        <v>2736</v>
      </c>
      <c r="T88" s="83" t="s">
        <v>2703</v>
      </c>
      <c r="U88" s="83" t="s">
        <v>401</v>
      </c>
      <c r="AC88" s="83" t="s">
        <v>401</v>
      </c>
      <c r="AD88" s="83">
        <v>38000</v>
      </c>
      <c r="AF88" s="83">
        <v>0</v>
      </c>
      <c r="AJ88" s="83">
        <v>1</v>
      </c>
      <c r="AK88" s="83">
        <v>1</v>
      </c>
      <c r="AL88" s="83">
        <v>242</v>
      </c>
      <c r="AM88" s="83" t="s">
        <v>2693</v>
      </c>
      <c r="BK88" s="83" t="s">
        <v>2694</v>
      </c>
      <c r="BL88" s="83" t="s">
        <v>2704</v>
      </c>
      <c r="BM88" s="83" t="s">
        <v>2698</v>
      </c>
      <c r="BN88" s="83" t="s">
        <v>2698</v>
      </c>
      <c r="BO88" s="83" t="s">
        <v>2697</v>
      </c>
      <c r="BP88" s="83" t="s">
        <v>2695</v>
      </c>
      <c r="BQ88" s="83" t="s">
        <v>2699</v>
      </c>
      <c r="BR88" s="83" t="s">
        <v>2693</v>
      </c>
      <c r="BS88" s="83" t="s">
        <v>2699</v>
      </c>
      <c r="BT88" s="83" t="s">
        <v>2696</v>
      </c>
      <c r="BU88" s="83" t="s">
        <v>2699</v>
      </c>
      <c r="BV88" s="83" t="s">
        <v>2697</v>
      </c>
      <c r="BW88" s="83" t="s">
        <v>2698</v>
      </c>
      <c r="BX88" s="83" t="s">
        <v>2696</v>
      </c>
      <c r="BY88" s="83" t="s">
        <v>2699</v>
      </c>
      <c r="BZ88" s="83" t="s">
        <v>2699</v>
      </c>
      <c r="CA88" s="83" t="s">
        <v>2693</v>
      </c>
      <c r="CB88" s="83" t="s">
        <v>2694</v>
      </c>
      <c r="CC88" s="83" t="s">
        <v>2696</v>
      </c>
      <c r="CD88" s="83" t="s">
        <v>2696</v>
      </c>
      <c r="CF88" s="83" t="s">
        <v>955</v>
      </c>
      <c r="CG88" s="83" t="s">
        <v>956</v>
      </c>
      <c r="CH88" s="83" t="s">
        <v>2693</v>
      </c>
      <c r="CI88" s="83" t="s">
        <v>3992</v>
      </c>
      <c r="CJ88" s="83" t="s">
        <v>2701</v>
      </c>
      <c r="CK88" s="144">
        <v>0</v>
      </c>
      <c r="CL88"/>
    </row>
    <row r="89" spans="1:90">
      <c r="A89" s="83" t="s">
        <v>1118</v>
      </c>
      <c r="B89" s="83" t="s">
        <v>3430</v>
      </c>
      <c r="D89" s="83" t="s">
        <v>688</v>
      </c>
      <c r="E89" s="83" t="s">
        <v>907</v>
      </c>
      <c r="F89" s="83" t="s">
        <v>3425</v>
      </c>
      <c r="G89" s="83" t="s">
        <v>1155</v>
      </c>
      <c r="H89" s="83" t="s">
        <v>1201</v>
      </c>
      <c r="I89" s="83" t="s">
        <v>1202</v>
      </c>
      <c r="J89" s="83" t="s">
        <v>1203</v>
      </c>
      <c r="K89" s="83" t="s">
        <v>565</v>
      </c>
      <c r="L89" s="83" t="s">
        <v>398</v>
      </c>
      <c r="M89" s="83" t="s">
        <v>399</v>
      </c>
      <c r="N89" s="83" t="s">
        <v>3057</v>
      </c>
      <c r="O89" s="83" t="s">
        <v>106</v>
      </c>
      <c r="P89" s="83">
        <v>1</v>
      </c>
      <c r="Q89" s="83" t="s">
        <v>106</v>
      </c>
      <c r="R89" s="83" t="s">
        <v>2799</v>
      </c>
      <c r="S89" s="83" t="s">
        <v>1464</v>
      </c>
      <c r="T89" s="83" t="s">
        <v>2703</v>
      </c>
      <c r="U89" s="83" t="s">
        <v>401</v>
      </c>
      <c r="AC89" s="83" t="s">
        <v>401</v>
      </c>
      <c r="AD89" s="83">
        <v>66000</v>
      </c>
      <c r="AF89" s="83">
        <v>0</v>
      </c>
      <c r="AJ89" s="83">
        <v>1</v>
      </c>
      <c r="AK89" s="83">
        <v>1</v>
      </c>
      <c r="AL89" s="83">
        <v>1512</v>
      </c>
      <c r="AM89" s="83" t="s">
        <v>2693</v>
      </c>
      <c r="BK89" s="83" t="s">
        <v>2694</v>
      </c>
      <c r="BL89" s="83" t="s">
        <v>2704</v>
      </c>
      <c r="BM89" s="83" t="s">
        <v>2698</v>
      </c>
      <c r="BN89" s="83" t="s">
        <v>2696</v>
      </c>
      <c r="BO89" s="83" t="s">
        <v>2697</v>
      </c>
      <c r="BP89" s="83" t="s">
        <v>2698</v>
      </c>
      <c r="BQ89" s="83" t="s">
        <v>2699</v>
      </c>
      <c r="BR89" s="83" t="s">
        <v>2693</v>
      </c>
      <c r="BS89" s="83" t="s">
        <v>2699</v>
      </c>
      <c r="BT89" s="83" t="s">
        <v>2696</v>
      </c>
      <c r="BU89" s="83" t="s">
        <v>2699</v>
      </c>
      <c r="BV89" s="83" t="s">
        <v>2697</v>
      </c>
      <c r="BW89" s="83" t="s">
        <v>2698</v>
      </c>
      <c r="BX89" s="83" t="s">
        <v>2696</v>
      </c>
      <c r="BY89" s="83" t="s">
        <v>2699</v>
      </c>
      <c r="BZ89" s="83" t="s">
        <v>2699</v>
      </c>
      <c r="CA89" s="83" t="s">
        <v>2693</v>
      </c>
      <c r="CB89" s="83" t="s">
        <v>2694</v>
      </c>
      <c r="CC89" s="83" t="s">
        <v>2696</v>
      </c>
      <c r="CD89" s="83" t="s">
        <v>2696</v>
      </c>
      <c r="CF89" s="83" t="s">
        <v>908</v>
      </c>
      <c r="CG89" s="83" t="s">
        <v>909</v>
      </c>
      <c r="CH89" s="83" t="s">
        <v>2699</v>
      </c>
      <c r="CI89" s="83" t="s">
        <v>2699</v>
      </c>
      <c r="CJ89" s="83" t="s">
        <v>2734</v>
      </c>
      <c r="CK89" s="144">
        <v>1</v>
      </c>
      <c r="CL89"/>
    </row>
    <row r="90" spans="1:90">
      <c r="A90" s="83" t="s">
        <v>1118</v>
      </c>
      <c r="B90" s="83" t="s">
        <v>3430</v>
      </c>
      <c r="D90" s="83" t="s">
        <v>673</v>
      </c>
      <c r="E90" s="83" t="s">
        <v>910</v>
      </c>
      <c r="F90" s="83" t="s">
        <v>3425</v>
      </c>
      <c r="G90" s="83" t="s">
        <v>1155</v>
      </c>
      <c r="H90" s="83" t="s">
        <v>1201</v>
      </c>
      <c r="I90" s="83" t="s">
        <v>1202</v>
      </c>
      <c r="J90" s="83" t="s">
        <v>1203</v>
      </c>
      <c r="K90" s="83" t="s">
        <v>565</v>
      </c>
      <c r="L90" s="83" t="s">
        <v>398</v>
      </c>
      <c r="M90" s="83" t="s">
        <v>399</v>
      </c>
      <c r="N90" s="83" t="s">
        <v>3057</v>
      </c>
      <c r="O90" s="83" t="s">
        <v>106</v>
      </c>
      <c r="P90" s="83">
        <v>4</v>
      </c>
      <c r="Q90" s="83" t="s">
        <v>106</v>
      </c>
      <c r="R90" s="83" t="s">
        <v>2799</v>
      </c>
      <c r="S90" s="83" t="s">
        <v>1464</v>
      </c>
      <c r="T90" s="83" t="s">
        <v>2703</v>
      </c>
      <c r="U90" s="83" t="s">
        <v>401</v>
      </c>
      <c r="AC90" s="83" t="s">
        <v>401</v>
      </c>
      <c r="AD90" s="83">
        <v>46000</v>
      </c>
      <c r="AF90" s="83">
        <v>30000</v>
      </c>
      <c r="AJ90" s="83">
        <v>1</v>
      </c>
      <c r="AK90" s="83">
        <v>1</v>
      </c>
      <c r="AL90" s="83">
        <v>1140</v>
      </c>
      <c r="AM90" s="83" t="s">
        <v>2693</v>
      </c>
      <c r="BK90" s="83" t="s">
        <v>2694</v>
      </c>
      <c r="BL90" s="83" t="s">
        <v>2704</v>
      </c>
      <c r="BM90" s="83" t="s">
        <v>2698</v>
      </c>
      <c r="BN90" s="83" t="s">
        <v>2698</v>
      </c>
      <c r="BO90" s="83" t="s">
        <v>2697</v>
      </c>
      <c r="BP90" s="83" t="s">
        <v>2698</v>
      </c>
      <c r="BQ90" s="83" t="s">
        <v>2699</v>
      </c>
      <c r="BR90" s="83" t="s">
        <v>2693</v>
      </c>
      <c r="BS90" s="83" t="s">
        <v>2699</v>
      </c>
      <c r="BT90" s="83" t="s">
        <v>2696</v>
      </c>
      <c r="BU90" s="83" t="s">
        <v>2699</v>
      </c>
      <c r="BV90" s="83" t="s">
        <v>2697</v>
      </c>
      <c r="BW90" s="83" t="s">
        <v>2698</v>
      </c>
      <c r="BX90" s="83" t="s">
        <v>2696</v>
      </c>
      <c r="BY90" s="83" t="s">
        <v>2699</v>
      </c>
      <c r="BZ90" s="83" t="s">
        <v>2699</v>
      </c>
      <c r="CA90" s="83" t="s">
        <v>2693</v>
      </c>
      <c r="CB90" s="83" t="s">
        <v>2694</v>
      </c>
      <c r="CC90" s="83" t="s">
        <v>2696</v>
      </c>
      <c r="CD90" s="83" t="s">
        <v>2696</v>
      </c>
      <c r="CF90" s="83" t="s">
        <v>911</v>
      </c>
      <c r="CG90" s="83" t="s">
        <v>912</v>
      </c>
      <c r="CH90" s="83" t="s">
        <v>2693</v>
      </c>
      <c r="CI90" s="83" t="s">
        <v>3992</v>
      </c>
      <c r="CJ90" s="83" t="s">
        <v>2701</v>
      </c>
      <c r="CK90" s="144">
        <v>0</v>
      </c>
      <c r="CL90"/>
    </row>
    <row r="91" spans="1:90">
      <c r="A91" s="83" t="s">
        <v>1142</v>
      </c>
      <c r="B91" s="83" t="s">
        <v>2378</v>
      </c>
      <c r="D91" s="83" t="s">
        <v>688</v>
      </c>
      <c r="E91" s="83" t="s">
        <v>2379</v>
      </c>
      <c r="F91" s="83" t="s">
        <v>3425</v>
      </c>
      <c r="G91" s="83" t="s">
        <v>1155</v>
      </c>
      <c r="H91" s="83" t="s">
        <v>1201</v>
      </c>
      <c r="I91" s="83" t="s">
        <v>1202</v>
      </c>
      <c r="J91" s="83" t="s">
        <v>1203</v>
      </c>
      <c r="K91" s="83" t="s">
        <v>565</v>
      </c>
      <c r="L91" s="83" t="s">
        <v>398</v>
      </c>
      <c r="M91" s="83" t="s">
        <v>399</v>
      </c>
      <c r="N91" s="83" t="s">
        <v>3057</v>
      </c>
      <c r="O91" s="83" t="s">
        <v>106</v>
      </c>
      <c r="P91" s="83">
        <v>4</v>
      </c>
      <c r="Q91" s="83" t="s">
        <v>106</v>
      </c>
      <c r="R91" s="83" t="s">
        <v>2799</v>
      </c>
      <c r="S91" s="83" t="s">
        <v>2712</v>
      </c>
      <c r="T91" s="83" t="s">
        <v>2703</v>
      </c>
      <c r="U91" s="83" t="s">
        <v>401</v>
      </c>
      <c r="AC91" s="83" t="s">
        <v>401</v>
      </c>
      <c r="AD91" s="83">
        <v>125000</v>
      </c>
      <c r="AF91" s="83">
        <v>10000</v>
      </c>
      <c r="AJ91" s="83">
        <v>1</v>
      </c>
      <c r="AK91" s="83">
        <v>1</v>
      </c>
      <c r="AL91" s="83">
        <v>1599</v>
      </c>
      <c r="AM91" s="83" t="s">
        <v>2693</v>
      </c>
      <c r="BK91" s="83" t="s">
        <v>2694</v>
      </c>
      <c r="BL91" s="83" t="s">
        <v>2704</v>
      </c>
      <c r="BM91" s="83" t="s">
        <v>2698</v>
      </c>
      <c r="BN91" s="83" t="s">
        <v>2698</v>
      </c>
      <c r="BO91" s="83" t="s">
        <v>2697</v>
      </c>
      <c r="BP91" s="83" t="s">
        <v>2695</v>
      </c>
      <c r="BQ91" s="83" t="s">
        <v>2699</v>
      </c>
      <c r="BR91" s="83" t="s">
        <v>2693</v>
      </c>
      <c r="BS91" s="83" t="s">
        <v>2699</v>
      </c>
      <c r="BT91" s="83" t="s">
        <v>2696</v>
      </c>
      <c r="BU91" s="83" t="s">
        <v>2699</v>
      </c>
      <c r="BV91" s="83" t="s">
        <v>2697</v>
      </c>
      <c r="BW91" s="83" t="s">
        <v>2698</v>
      </c>
      <c r="BX91" s="83" t="s">
        <v>2696</v>
      </c>
      <c r="BY91" s="83" t="s">
        <v>2699</v>
      </c>
      <c r="BZ91" s="83" t="s">
        <v>2699</v>
      </c>
      <c r="CA91" s="83" t="s">
        <v>2693</v>
      </c>
      <c r="CB91" s="83" t="s">
        <v>2694</v>
      </c>
      <c r="CC91" s="83" t="s">
        <v>2696</v>
      </c>
      <c r="CD91" s="83" t="s">
        <v>2696</v>
      </c>
      <c r="CF91" s="83" t="s">
        <v>916</v>
      </c>
      <c r="CG91" s="83" t="s">
        <v>917</v>
      </c>
      <c r="CH91" s="83" t="s">
        <v>2693</v>
      </c>
      <c r="CI91" s="83" t="s">
        <v>3992</v>
      </c>
      <c r="CJ91" s="83" t="s">
        <v>2701</v>
      </c>
      <c r="CK91" s="144">
        <v>0</v>
      </c>
      <c r="CL91"/>
    </row>
    <row r="92" spans="1:90">
      <c r="A92" s="83" t="s">
        <v>1117</v>
      </c>
      <c r="B92" s="83" t="s">
        <v>2380</v>
      </c>
      <c r="D92" s="83" t="s">
        <v>688</v>
      </c>
      <c r="E92" s="83" t="s">
        <v>2381</v>
      </c>
      <c r="F92" s="83" t="s">
        <v>3425</v>
      </c>
      <c r="G92" s="83" t="s">
        <v>1155</v>
      </c>
      <c r="H92" s="83" t="s">
        <v>1201</v>
      </c>
      <c r="I92" s="83" t="s">
        <v>1202</v>
      </c>
      <c r="J92" s="83" t="s">
        <v>1203</v>
      </c>
      <c r="K92" s="83" t="s">
        <v>565</v>
      </c>
      <c r="L92" s="83" t="s">
        <v>398</v>
      </c>
      <c r="M92" s="83" t="s">
        <v>399</v>
      </c>
      <c r="N92" s="83" t="s">
        <v>3057</v>
      </c>
      <c r="O92" s="83" t="s">
        <v>106</v>
      </c>
      <c r="P92" s="83">
        <v>4</v>
      </c>
      <c r="Q92" s="83" t="s">
        <v>106</v>
      </c>
      <c r="R92" s="83" t="s">
        <v>2799</v>
      </c>
      <c r="S92" s="83" t="s">
        <v>2720</v>
      </c>
      <c r="T92" s="83" t="s">
        <v>2703</v>
      </c>
      <c r="U92" s="83" t="s">
        <v>401</v>
      </c>
      <c r="AC92" s="83" t="s">
        <v>401</v>
      </c>
      <c r="AD92" s="83">
        <v>137000</v>
      </c>
      <c r="AF92" s="83">
        <v>11000</v>
      </c>
      <c r="AJ92" s="83">
        <v>1</v>
      </c>
      <c r="AK92" s="83">
        <v>1</v>
      </c>
      <c r="AL92" s="83">
        <v>1768</v>
      </c>
      <c r="AM92" s="83" t="s">
        <v>2693</v>
      </c>
      <c r="BK92" s="83" t="s">
        <v>2694</v>
      </c>
      <c r="BL92" s="83" t="s">
        <v>2704</v>
      </c>
      <c r="BM92" s="83" t="s">
        <v>2698</v>
      </c>
      <c r="BN92" s="83" t="s">
        <v>2698</v>
      </c>
      <c r="BO92" s="83" t="s">
        <v>2697</v>
      </c>
      <c r="BP92" s="83" t="s">
        <v>2695</v>
      </c>
      <c r="BQ92" s="83" t="s">
        <v>2699</v>
      </c>
      <c r="BR92" s="83" t="s">
        <v>2693</v>
      </c>
      <c r="BS92" s="83" t="s">
        <v>2699</v>
      </c>
      <c r="BT92" s="83" t="s">
        <v>2696</v>
      </c>
      <c r="BU92" s="83" t="s">
        <v>2699</v>
      </c>
      <c r="BV92" s="83" t="s">
        <v>2697</v>
      </c>
      <c r="BW92" s="83" t="s">
        <v>2698</v>
      </c>
      <c r="BX92" s="83" t="s">
        <v>2696</v>
      </c>
      <c r="BY92" s="83" t="s">
        <v>2699</v>
      </c>
      <c r="BZ92" s="83" t="s">
        <v>2699</v>
      </c>
      <c r="CA92" s="83" t="s">
        <v>2693</v>
      </c>
      <c r="CB92" s="83" t="s">
        <v>2694</v>
      </c>
      <c r="CC92" s="83" t="s">
        <v>2696</v>
      </c>
      <c r="CD92" s="83" t="s">
        <v>2696</v>
      </c>
      <c r="CF92" s="83" t="s">
        <v>904</v>
      </c>
      <c r="CG92" s="83" t="s">
        <v>905</v>
      </c>
      <c r="CH92" s="83" t="s">
        <v>2693</v>
      </c>
      <c r="CI92" s="83" t="s">
        <v>3992</v>
      </c>
      <c r="CJ92" s="83" t="s">
        <v>2701</v>
      </c>
      <c r="CK92" s="144">
        <v>0</v>
      </c>
      <c r="CL92"/>
    </row>
    <row r="93" spans="1:90">
      <c r="A93" s="83" t="s">
        <v>1144</v>
      </c>
      <c r="B93" s="83" t="s">
        <v>2382</v>
      </c>
      <c r="D93" s="83" t="s">
        <v>688</v>
      </c>
      <c r="E93" s="83" t="s">
        <v>3431</v>
      </c>
      <c r="F93" s="83" t="s">
        <v>3425</v>
      </c>
      <c r="G93" s="83" t="s">
        <v>1155</v>
      </c>
      <c r="H93" s="83" t="s">
        <v>1201</v>
      </c>
      <c r="I93" s="83" t="s">
        <v>1202</v>
      </c>
      <c r="J93" s="83" t="s">
        <v>1203</v>
      </c>
      <c r="K93" s="83" t="s">
        <v>565</v>
      </c>
      <c r="L93" s="83" t="s">
        <v>398</v>
      </c>
      <c r="M93" s="83" t="s">
        <v>399</v>
      </c>
      <c r="N93" s="83" t="s">
        <v>3057</v>
      </c>
      <c r="O93" s="83" t="s">
        <v>106</v>
      </c>
      <c r="P93" s="83">
        <v>1</v>
      </c>
      <c r="Q93" s="83" t="s">
        <v>106</v>
      </c>
      <c r="R93" s="83" t="s">
        <v>2799</v>
      </c>
      <c r="S93" s="83" t="s">
        <v>2830</v>
      </c>
      <c r="T93" s="83" t="s">
        <v>2703</v>
      </c>
      <c r="U93" s="83" t="s">
        <v>401</v>
      </c>
      <c r="AC93" s="83" t="s">
        <v>401</v>
      </c>
      <c r="AD93" s="83">
        <v>36000</v>
      </c>
      <c r="AF93" s="83">
        <v>11000</v>
      </c>
      <c r="AJ93" s="83">
        <v>1</v>
      </c>
      <c r="AK93" s="83">
        <v>1</v>
      </c>
      <c r="AL93" s="83">
        <v>828</v>
      </c>
      <c r="AM93" s="83" t="s">
        <v>2693</v>
      </c>
      <c r="BK93" s="83" t="s">
        <v>2694</v>
      </c>
      <c r="BL93" s="83" t="s">
        <v>2704</v>
      </c>
      <c r="BM93" s="83" t="s">
        <v>2698</v>
      </c>
      <c r="BN93" s="83" t="s">
        <v>2698</v>
      </c>
      <c r="BO93" s="83" t="s">
        <v>2699</v>
      </c>
      <c r="BP93" s="83" t="s">
        <v>2698</v>
      </c>
      <c r="BQ93" s="83" t="s">
        <v>2699</v>
      </c>
      <c r="BR93" s="83" t="s">
        <v>2693</v>
      </c>
      <c r="BS93" s="83" t="s">
        <v>2699</v>
      </c>
      <c r="BT93" s="83" t="s">
        <v>2696</v>
      </c>
      <c r="BU93" s="83" t="s">
        <v>2699</v>
      </c>
      <c r="BV93" s="83" t="s">
        <v>2697</v>
      </c>
      <c r="BW93" s="83" t="s">
        <v>2698</v>
      </c>
      <c r="BX93" s="83" t="s">
        <v>2696</v>
      </c>
      <c r="BY93" s="83" t="s">
        <v>2699</v>
      </c>
      <c r="BZ93" s="83" t="s">
        <v>2699</v>
      </c>
      <c r="CA93" s="83" t="s">
        <v>2693</v>
      </c>
      <c r="CB93" s="83" t="s">
        <v>2694</v>
      </c>
      <c r="CC93" s="83" t="s">
        <v>2696</v>
      </c>
      <c r="CD93" s="83" t="s">
        <v>2696</v>
      </c>
      <c r="CF93" s="83" t="s">
        <v>922</v>
      </c>
      <c r="CG93" s="83" t="s">
        <v>923</v>
      </c>
      <c r="CH93" s="83" t="s">
        <v>2699</v>
      </c>
      <c r="CI93" s="83" t="s">
        <v>2699</v>
      </c>
      <c r="CJ93" s="83" t="s">
        <v>2734</v>
      </c>
      <c r="CK93" s="144">
        <v>0</v>
      </c>
      <c r="CL93"/>
    </row>
    <row r="94" spans="1:90">
      <c r="A94" s="83" t="s">
        <v>1143</v>
      </c>
      <c r="B94" s="83" t="s">
        <v>3432</v>
      </c>
      <c r="D94" s="83" t="s">
        <v>688</v>
      </c>
      <c r="E94" s="83" t="s">
        <v>3433</v>
      </c>
      <c r="F94" s="83" t="s">
        <v>3425</v>
      </c>
      <c r="G94" s="83" t="s">
        <v>1155</v>
      </c>
      <c r="H94" s="83" t="s">
        <v>1201</v>
      </c>
      <c r="I94" s="83" t="s">
        <v>1202</v>
      </c>
      <c r="J94" s="83" t="s">
        <v>1203</v>
      </c>
      <c r="K94" s="83" t="s">
        <v>565</v>
      </c>
      <c r="L94" s="83" t="s">
        <v>398</v>
      </c>
      <c r="M94" s="83" t="s">
        <v>399</v>
      </c>
      <c r="N94" s="83" t="s">
        <v>3057</v>
      </c>
      <c r="O94" s="83" t="s">
        <v>106</v>
      </c>
      <c r="P94" s="83">
        <v>5</v>
      </c>
      <c r="Q94" s="83" t="s">
        <v>106</v>
      </c>
      <c r="R94" s="83" t="s">
        <v>2799</v>
      </c>
      <c r="S94" s="83" t="s">
        <v>3054</v>
      </c>
      <c r="T94" s="83" t="s">
        <v>2703</v>
      </c>
      <c r="U94" s="83" t="s">
        <v>401</v>
      </c>
      <c r="AC94" s="83" t="s">
        <v>401</v>
      </c>
      <c r="AD94" s="83">
        <v>133000</v>
      </c>
      <c r="AF94" s="83">
        <v>0</v>
      </c>
      <c r="AJ94" s="83">
        <v>1</v>
      </c>
      <c r="AK94" s="83">
        <v>1</v>
      </c>
      <c r="AL94" s="83">
        <v>784</v>
      </c>
      <c r="AM94" s="83" t="s">
        <v>2693</v>
      </c>
      <c r="BK94" s="83" t="s">
        <v>2694</v>
      </c>
      <c r="BL94" s="83" t="s">
        <v>2704</v>
      </c>
      <c r="BM94" s="83" t="s">
        <v>2697</v>
      </c>
      <c r="BN94" s="83" t="s">
        <v>2698</v>
      </c>
      <c r="BO94" s="83" t="s">
        <v>2697</v>
      </c>
      <c r="BP94" s="83" t="s">
        <v>2699</v>
      </c>
      <c r="BQ94" s="83" t="s">
        <v>2699</v>
      </c>
      <c r="BR94" s="83" t="s">
        <v>2693</v>
      </c>
      <c r="BS94" s="83" t="s">
        <v>2699</v>
      </c>
      <c r="BT94" s="83" t="s">
        <v>2696</v>
      </c>
      <c r="BU94" s="83" t="s">
        <v>2699</v>
      </c>
      <c r="BV94" s="83" t="s">
        <v>2697</v>
      </c>
      <c r="BW94" s="83" t="s">
        <v>2698</v>
      </c>
      <c r="BX94" s="83" t="s">
        <v>2696</v>
      </c>
      <c r="BY94" s="83" t="s">
        <v>2699</v>
      </c>
      <c r="BZ94" s="83" t="s">
        <v>2699</v>
      </c>
      <c r="CA94" s="83" t="s">
        <v>2693</v>
      </c>
      <c r="CB94" s="83" t="s">
        <v>2694</v>
      </c>
      <c r="CC94" s="83" t="s">
        <v>2696</v>
      </c>
      <c r="CD94" s="83" t="s">
        <v>2696</v>
      </c>
      <c r="CF94" s="83" t="s">
        <v>920</v>
      </c>
      <c r="CG94" s="83" t="s">
        <v>921</v>
      </c>
      <c r="CH94" s="83" t="s">
        <v>2725</v>
      </c>
      <c r="CI94" s="83" t="s">
        <v>1358</v>
      </c>
      <c r="CJ94" s="83" t="s">
        <v>2726</v>
      </c>
      <c r="CK94" s="144">
        <v>0</v>
      </c>
      <c r="CL94"/>
    </row>
    <row r="95" spans="1:90">
      <c r="A95" s="83" t="s">
        <v>2473</v>
      </c>
      <c r="B95" s="83" t="s">
        <v>686</v>
      </c>
      <c r="D95" s="83" t="s">
        <v>688</v>
      </c>
      <c r="E95" s="83" t="s">
        <v>686</v>
      </c>
      <c r="F95" s="83" t="s">
        <v>1315</v>
      </c>
      <c r="G95" s="83" t="s">
        <v>2260</v>
      </c>
      <c r="H95" s="83" t="s">
        <v>1201</v>
      </c>
      <c r="I95" s="83" t="s">
        <v>1202</v>
      </c>
      <c r="J95" s="83" t="s">
        <v>1203</v>
      </c>
      <c r="K95" s="83" t="s">
        <v>565</v>
      </c>
      <c r="L95" s="83" t="s">
        <v>398</v>
      </c>
      <c r="M95" s="83" t="s">
        <v>399</v>
      </c>
      <c r="N95" s="83" t="s">
        <v>2752</v>
      </c>
      <c r="O95" s="83" t="s">
        <v>106</v>
      </c>
      <c r="P95" s="83">
        <v>5</v>
      </c>
      <c r="Q95" s="83" t="s">
        <v>106</v>
      </c>
      <c r="R95" s="83" t="s">
        <v>2730</v>
      </c>
      <c r="S95" s="83" t="s">
        <v>2736</v>
      </c>
      <c r="T95" s="83" t="s">
        <v>2843</v>
      </c>
      <c r="U95" s="83" t="s">
        <v>401</v>
      </c>
      <c r="AC95" s="83" t="s">
        <v>401</v>
      </c>
      <c r="AD95" s="83">
        <v>28275000</v>
      </c>
      <c r="AF95" s="83">
        <v>4040000</v>
      </c>
      <c r="AJ95" s="83">
        <v>1</v>
      </c>
      <c r="AK95" s="83">
        <v>3</v>
      </c>
      <c r="AL95" s="83">
        <v>145817</v>
      </c>
      <c r="AM95" s="83" t="s">
        <v>2693</v>
      </c>
      <c r="BK95" s="83" t="s">
        <v>2694</v>
      </c>
      <c r="BL95" s="83" t="s">
        <v>2698</v>
      </c>
      <c r="BM95" s="83" t="s">
        <v>2699</v>
      </c>
      <c r="BN95" s="83" t="s">
        <v>2698</v>
      </c>
      <c r="BO95" s="83" t="s">
        <v>2697</v>
      </c>
      <c r="BP95" s="83" t="s">
        <v>2699</v>
      </c>
      <c r="BQ95" s="83" t="s">
        <v>2699</v>
      </c>
      <c r="BR95" s="83" t="s">
        <v>2699</v>
      </c>
      <c r="BS95" s="83" t="s">
        <v>2699</v>
      </c>
      <c r="BT95" s="83" t="s">
        <v>2696</v>
      </c>
      <c r="BU95" s="83" t="s">
        <v>2699</v>
      </c>
      <c r="BV95" s="83" t="s">
        <v>2696</v>
      </c>
      <c r="BW95" s="83" t="s">
        <v>2698</v>
      </c>
      <c r="BX95" s="83" t="s">
        <v>2696</v>
      </c>
      <c r="BY95" s="83" t="s">
        <v>2699</v>
      </c>
      <c r="BZ95" s="83" t="s">
        <v>2693</v>
      </c>
      <c r="CA95" s="83" t="s">
        <v>2693</v>
      </c>
      <c r="CB95" s="83" t="s">
        <v>2697</v>
      </c>
      <c r="CC95" s="83" t="s">
        <v>2699</v>
      </c>
      <c r="CD95" s="83" t="s">
        <v>2696</v>
      </c>
      <c r="CF95" s="83" t="s">
        <v>2844</v>
      </c>
      <c r="CG95" s="83" t="s">
        <v>2845</v>
      </c>
      <c r="CH95" s="83" t="s">
        <v>2725</v>
      </c>
      <c r="CI95" s="83" t="s">
        <v>1358</v>
      </c>
      <c r="CJ95" s="83" t="s">
        <v>2780</v>
      </c>
      <c r="CK95" s="144">
        <v>1</v>
      </c>
      <c r="CL95" s="99">
        <v>195000</v>
      </c>
    </row>
    <row r="96" spans="1:90">
      <c r="A96" s="83" t="s">
        <v>1498</v>
      </c>
      <c r="B96" s="83" t="s">
        <v>3744</v>
      </c>
      <c r="D96" s="83" t="s">
        <v>688</v>
      </c>
      <c r="E96" s="83" t="s">
        <v>2482</v>
      </c>
      <c r="F96" s="83" t="s">
        <v>1705</v>
      </c>
      <c r="G96" s="83" t="s">
        <v>1829</v>
      </c>
      <c r="H96" s="83" t="s">
        <v>1201</v>
      </c>
      <c r="I96" s="83" t="s">
        <v>1202</v>
      </c>
      <c r="J96" s="83" t="s">
        <v>1203</v>
      </c>
      <c r="K96" s="83" t="s">
        <v>565</v>
      </c>
      <c r="L96" s="83" t="s">
        <v>398</v>
      </c>
      <c r="M96" s="83" t="s">
        <v>399</v>
      </c>
      <c r="N96" s="83" t="s">
        <v>2735</v>
      </c>
      <c r="O96" s="83" t="s">
        <v>106</v>
      </c>
      <c r="P96" s="83">
        <v>9</v>
      </c>
      <c r="Q96" s="83" t="s">
        <v>106</v>
      </c>
      <c r="R96" s="83" t="s">
        <v>2694</v>
      </c>
      <c r="S96" s="83" t="s">
        <v>2720</v>
      </c>
      <c r="T96" s="83" t="s">
        <v>2843</v>
      </c>
      <c r="U96" s="83" t="s">
        <v>401</v>
      </c>
      <c r="AC96" s="83" t="s">
        <v>401</v>
      </c>
      <c r="AD96" s="83">
        <v>215000</v>
      </c>
      <c r="AF96" s="83">
        <v>169000</v>
      </c>
      <c r="AJ96" s="83">
        <v>1</v>
      </c>
      <c r="AK96" s="83">
        <v>1</v>
      </c>
      <c r="AL96" s="83">
        <v>4350</v>
      </c>
      <c r="AM96" s="83" t="s">
        <v>2693</v>
      </c>
      <c r="BK96" s="83" t="s">
        <v>2694</v>
      </c>
      <c r="BL96" s="83" t="s">
        <v>2693</v>
      </c>
      <c r="BM96" s="83" t="s">
        <v>2698</v>
      </c>
      <c r="BN96" s="83" t="s">
        <v>2698</v>
      </c>
      <c r="BO96" s="83" t="s">
        <v>2697</v>
      </c>
      <c r="BP96" s="83" t="s">
        <v>2695</v>
      </c>
      <c r="BQ96" s="83" t="s">
        <v>2699</v>
      </c>
      <c r="BR96" s="83" t="s">
        <v>2693</v>
      </c>
      <c r="BS96" s="83" t="s">
        <v>2699</v>
      </c>
      <c r="BT96" s="83" t="s">
        <v>2696</v>
      </c>
      <c r="BU96" s="83" t="s">
        <v>2699</v>
      </c>
      <c r="BV96" s="83" t="s">
        <v>2696</v>
      </c>
      <c r="BW96" s="83" t="s">
        <v>2693</v>
      </c>
      <c r="BX96" s="83" t="s">
        <v>2696</v>
      </c>
      <c r="BY96" s="83" t="s">
        <v>2699</v>
      </c>
      <c r="BZ96" s="83" t="s">
        <v>2693</v>
      </c>
      <c r="CA96" s="83" t="s">
        <v>2693</v>
      </c>
      <c r="CB96" s="83">
        <v>9</v>
      </c>
      <c r="CC96" s="83" t="s">
        <v>2699</v>
      </c>
      <c r="CD96" s="83" t="s">
        <v>2696</v>
      </c>
      <c r="CF96" s="83" t="s">
        <v>1952</v>
      </c>
      <c r="CG96" s="83" t="s">
        <v>3745</v>
      </c>
      <c r="CH96" s="83" t="s">
        <v>2697</v>
      </c>
      <c r="CI96" s="83" t="s">
        <v>648</v>
      </c>
      <c r="CJ96" s="83" t="s">
        <v>2757</v>
      </c>
      <c r="CK96" s="144">
        <v>0</v>
      </c>
      <c r="CL96" s="99">
        <v>205000</v>
      </c>
    </row>
    <row r="97" spans="1:90">
      <c r="A97" s="83" t="s">
        <v>2663</v>
      </c>
      <c r="B97" s="83" t="s">
        <v>2664</v>
      </c>
      <c r="D97" s="83" t="s">
        <v>688</v>
      </c>
      <c r="E97" s="83" t="s">
        <v>2665</v>
      </c>
      <c r="F97" s="83" t="s">
        <v>978</v>
      </c>
      <c r="G97" s="83" t="s">
        <v>2308</v>
      </c>
      <c r="H97" s="83" t="s">
        <v>1201</v>
      </c>
      <c r="I97" s="83" t="s">
        <v>1202</v>
      </c>
      <c r="J97" s="83" t="s">
        <v>1203</v>
      </c>
      <c r="K97" s="83" t="s">
        <v>565</v>
      </c>
      <c r="L97" s="83" t="s">
        <v>398</v>
      </c>
      <c r="M97" s="83" t="s">
        <v>399</v>
      </c>
      <c r="N97" s="83" t="s">
        <v>2833</v>
      </c>
      <c r="O97" s="83" t="s">
        <v>106</v>
      </c>
      <c r="P97" s="83">
        <v>9</v>
      </c>
      <c r="Q97" s="83" t="s">
        <v>106</v>
      </c>
      <c r="R97" s="83" t="s">
        <v>2727</v>
      </c>
      <c r="S97" s="83" t="s">
        <v>1444</v>
      </c>
      <c r="T97" s="83" t="s">
        <v>2843</v>
      </c>
      <c r="U97" s="83" t="s">
        <v>401</v>
      </c>
      <c r="AC97" s="83" t="s">
        <v>401</v>
      </c>
      <c r="AD97" s="83">
        <v>554000</v>
      </c>
      <c r="AF97" s="83">
        <v>41000</v>
      </c>
      <c r="AJ97" s="83">
        <v>1</v>
      </c>
      <c r="AK97" s="83">
        <v>1</v>
      </c>
      <c r="AL97" s="83">
        <v>15000</v>
      </c>
      <c r="AM97" s="83" t="s">
        <v>2693</v>
      </c>
      <c r="BK97" s="83" t="s">
        <v>2694</v>
      </c>
      <c r="BL97" s="83" t="s">
        <v>2699</v>
      </c>
      <c r="BM97" s="83" t="s">
        <v>2698</v>
      </c>
      <c r="BN97" s="83" t="s">
        <v>2696</v>
      </c>
      <c r="BO97" s="83" t="s">
        <v>2697</v>
      </c>
      <c r="BP97" s="83" t="s">
        <v>2697</v>
      </c>
      <c r="BQ97" s="83" t="s">
        <v>2699</v>
      </c>
      <c r="BR97" s="83" t="s">
        <v>2693</v>
      </c>
      <c r="BS97" s="83" t="s">
        <v>2699</v>
      </c>
      <c r="BT97" s="83" t="s">
        <v>2696</v>
      </c>
      <c r="BU97" s="83" t="s">
        <v>2699</v>
      </c>
      <c r="BV97" s="83" t="s">
        <v>2696</v>
      </c>
      <c r="BW97" s="83" t="s">
        <v>2698</v>
      </c>
      <c r="BX97" s="83" t="s">
        <v>2696</v>
      </c>
      <c r="BY97" s="83" t="s">
        <v>2699</v>
      </c>
      <c r="BZ97" s="83" t="s">
        <v>2693</v>
      </c>
      <c r="CA97" s="83" t="s">
        <v>2693</v>
      </c>
      <c r="CB97" s="83" t="s">
        <v>2694</v>
      </c>
      <c r="CC97" s="83" t="s">
        <v>2699</v>
      </c>
      <c r="CD97" s="83" t="s">
        <v>2696</v>
      </c>
      <c r="CF97" s="83" t="s">
        <v>3198</v>
      </c>
      <c r="CG97" s="83" t="s">
        <v>3199</v>
      </c>
      <c r="CH97" s="83" t="s">
        <v>2697</v>
      </c>
      <c r="CI97" s="83" t="s">
        <v>2695</v>
      </c>
      <c r="CJ97" s="83" t="s">
        <v>2757</v>
      </c>
      <c r="CK97" s="144">
        <v>0</v>
      </c>
      <c r="CL97" s="99">
        <v>21000</v>
      </c>
    </row>
    <row r="98" spans="1:90">
      <c r="A98" s="83" t="s">
        <v>1505</v>
      </c>
      <c r="B98" s="83" t="s">
        <v>693</v>
      </c>
      <c r="D98" s="83" t="s">
        <v>688</v>
      </c>
      <c r="E98" s="83" t="s">
        <v>1669</v>
      </c>
      <c r="F98" s="83" t="s">
        <v>1706</v>
      </c>
      <c r="G98" s="83" t="s">
        <v>1830</v>
      </c>
      <c r="H98" s="83" t="s">
        <v>1201</v>
      </c>
      <c r="I98" s="83" t="s">
        <v>1202</v>
      </c>
      <c r="J98" s="83" t="s">
        <v>1203</v>
      </c>
      <c r="K98" s="83" t="s">
        <v>565</v>
      </c>
      <c r="L98" s="83" t="s">
        <v>398</v>
      </c>
      <c r="M98" s="83" t="s">
        <v>399</v>
      </c>
      <c r="N98" s="83" t="s">
        <v>2752</v>
      </c>
      <c r="O98" s="83" t="s">
        <v>106</v>
      </c>
      <c r="P98" s="83">
        <v>5</v>
      </c>
      <c r="Q98" s="83" t="s">
        <v>106</v>
      </c>
      <c r="R98" s="83" t="s">
        <v>2799</v>
      </c>
      <c r="S98" s="83" t="s">
        <v>2769</v>
      </c>
      <c r="T98" s="83" t="s">
        <v>2703</v>
      </c>
      <c r="U98" s="83" t="s">
        <v>401</v>
      </c>
      <c r="AC98" s="83" t="s">
        <v>401</v>
      </c>
      <c r="AD98" s="83">
        <v>2896000</v>
      </c>
      <c r="AF98" s="83">
        <v>0</v>
      </c>
      <c r="AJ98" s="83">
        <v>1</v>
      </c>
      <c r="AK98" s="83">
        <v>2</v>
      </c>
      <c r="AL98" s="83">
        <v>15782</v>
      </c>
      <c r="AM98" s="83" t="s">
        <v>2693</v>
      </c>
      <c r="BK98" s="83" t="s">
        <v>2694</v>
      </c>
      <c r="BL98" s="83" t="s">
        <v>2697</v>
      </c>
      <c r="BM98" s="83" t="s">
        <v>2699</v>
      </c>
      <c r="BN98" s="83" t="s">
        <v>2698</v>
      </c>
      <c r="BO98" s="83" t="s">
        <v>2697</v>
      </c>
      <c r="BP98" s="83" t="s">
        <v>2693</v>
      </c>
      <c r="BQ98" s="83" t="s">
        <v>2699</v>
      </c>
      <c r="BR98" s="83" t="s">
        <v>2693</v>
      </c>
      <c r="BS98" s="83" t="s">
        <v>2699</v>
      </c>
      <c r="BT98" s="83" t="s">
        <v>2696</v>
      </c>
      <c r="BU98" s="83" t="s">
        <v>2699</v>
      </c>
      <c r="BV98" s="83" t="s">
        <v>2696</v>
      </c>
      <c r="BW98" s="83" t="s">
        <v>2696</v>
      </c>
      <c r="BX98" s="83" t="s">
        <v>2696</v>
      </c>
      <c r="BY98" s="83" t="s">
        <v>2699</v>
      </c>
      <c r="BZ98" s="83" t="s">
        <v>2693</v>
      </c>
      <c r="CA98" s="83" t="s">
        <v>2693</v>
      </c>
      <c r="CB98" s="83">
        <v>9</v>
      </c>
      <c r="CC98" s="83" t="s">
        <v>2699</v>
      </c>
      <c r="CD98" s="83" t="s">
        <v>2699</v>
      </c>
      <c r="CF98" s="83" t="s">
        <v>1953</v>
      </c>
      <c r="CG98" s="83" t="s">
        <v>1954</v>
      </c>
      <c r="CH98" s="83" t="s">
        <v>2725</v>
      </c>
      <c r="CI98" s="83" t="s">
        <v>778</v>
      </c>
      <c r="CJ98" s="83" t="s">
        <v>2780</v>
      </c>
      <c r="CK98" s="144">
        <v>1</v>
      </c>
      <c r="CL98" s="99">
        <v>27000</v>
      </c>
    </row>
    <row r="99" spans="1:90">
      <c r="A99" s="83" t="s">
        <v>1505</v>
      </c>
      <c r="B99" s="83" t="s">
        <v>693</v>
      </c>
      <c r="D99" s="83" t="s">
        <v>673</v>
      </c>
      <c r="E99" s="83" t="s">
        <v>1670</v>
      </c>
      <c r="F99" s="83" t="s">
        <v>1706</v>
      </c>
      <c r="G99" s="83" t="s">
        <v>1830</v>
      </c>
      <c r="H99" s="83" t="s">
        <v>1201</v>
      </c>
      <c r="I99" s="83" t="s">
        <v>1202</v>
      </c>
      <c r="J99" s="83" t="s">
        <v>1203</v>
      </c>
      <c r="K99" s="83" t="s">
        <v>565</v>
      </c>
      <c r="L99" s="83" t="s">
        <v>398</v>
      </c>
      <c r="M99" s="83" t="s">
        <v>399</v>
      </c>
      <c r="N99" s="83" t="s">
        <v>2752</v>
      </c>
      <c r="O99" s="83" t="s">
        <v>106</v>
      </c>
      <c r="P99" s="83">
        <v>5</v>
      </c>
      <c r="Q99" s="83" t="s">
        <v>106</v>
      </c>
      <c r="R99" s="83" t="s">
        <v>2799</v>
      </c>
      <c r="S99" s="83" t="s">
        <v>2769</v>
      </c>
      <c r="T99" s="83" t="s">
        <v>2703</v>
      </c>
      <c r="U99" s="83" t="s">
        <v>401</v>
      </c>
      <c r="AC99" s="83" t="s">
        <v>401</v>
      </c>
      <c r="AD99" s="83">
        <v>4160000</v>
      </c>
      <c r="AF99" s="83">
        <v>0</v>
      </c>
      <c r="AJ99" s="83">
        <v>1</v>
      </c>
      <c r="AK99" s="83">
        <v>2</v>
      </c>
      <c r="AL99" s="83">
        <v>22987</v>
      </c>
      <c r="AM99" s="83" t="s">
        <v>2693</v>
      </c>
      <c r="BK99" s="83" t="s">
        <v>2694</v>
      </c>
      <c r="BL99" s="83" t="s">
        <v>2697</v>
      </c>
      <c r="BM99" s="83" t="s">
        <v>2699</v>
      </c>
      <c r="BN99" s="83" t="s">
        <v>2698</v>
      </c>
      <c r="BO99" s="83" t="s">
        <v>2697</v>
      </c>
      <c r="BP99" s="83" t="s">
        <v>2693</v>
      </c>
      <c r="BQ99" s="83" t="s">
        <v>2699</v>
      </c>
      <c r="BR99" s="83" t="s">
        <v>2693</v>
      </c>
      <c r="BS99" s="83" t="s">
        <v>2699</v>
      </c>
      <c r="BT99" s="83" t="s">
        <v>2696</v>
      </c>
      <c r="BU99" s="83" t="s">
        <v>2699</v>
      </c>
      <c r="BV99" s="83" t="s">
        <v>2696</v>
      </c>
      <c r="BW99" s="83" t="s">
        <v>2696</v>
      </c>
      <c r="BX99" s="83" t="s">
        <v>2696</v>
      </c>
      <c r="BY99" s="83" t="s">
        <v>2699</v>
      </c>
      <c r="BZ99" s="83" t="s">
        <v>2693</v>
      </c>
      <c r="CA99" s="83" t="s">
        <v>2693</v>
      </c>
      <c r="CB99" s="83">
        <v>9</v>
      </c>
      <c r="CC99" s="83" t="s">
        <v>2699</v>
      </c>
      <c r="CD99" s="83" t="s">
        <v>2699</v>
      </c>
      <c r="CF99" s="83" t="s">
        <v>3746</v>
      </c>
      <c r="CG99" s="83" t="s">
        <v>1955</v>
      </c>
      <c r="CH99" s="83" t="s">
        <v>2725</v>
      </c>
      <c r="CI99" s="83" t="s">
        <v>778</v>
      </c>
      <c r="CJ99" s="83" t="s">
        <v>2780</v>
      </c>
      <c r="CK99" s="144">
        <v>0</v>
      </c>
      <c r="CL99"/>
    </row>
    <row r="100" spans="1:90">
      <c r="A100" s="83" t="s">
        <v>1505</v>
      </c>
      <c r="B100" s="83" t="s">
        <v>693</v>
      </c>
      <c r="D100" s="83" t="s">
        <v>714</v>
      </c>
      <c r="E100" s="83" t="s">
        <v>1671</v>
      </c>
      <c r="F100" s="83" t="s">
        <v>1706</v>
      </c>
      <c r="G100" s="83" t="s">
        <v>1830</v>
      </c>
      <c r="H100" s="83" t="s">
        <v>1201</v>
      </c>
      <c r="I100" s="83" t="s">
        <v>1202</v>
      </c>
      <c r="J100" s="83" t="s">
        <v>1203</v>
      </c>
      <c r="K100" s="83" t="s">
        <v>565</v>
      </c>
      <c r="L100" s="83" t="s">
        <v>398</v>
      </c>
      <c r="M100" s="83" t="s">
        <v>399</v>
      </c>
      <c r="N100" s="83" t="s">
        <v>2752</v>
      </c>
      <c r="O100" s="83" t="s">
        <v>106</v>
      </c>
      <c r="P100" s="83">
        <v>5</v>
      </c>
      <c r="Q100" s="83" t="s">
        <v>106</v>
      </c>
      <c r="R100" s="83" t="s">
        <v>2799</v>
      </c>
      <c r="S100" s="83" t="s">
        <v>2769</v>
      </c>
      <c r="T100" s="83" t="s">
        <v>2703</v>
      </c>
      <c r="U100" s="83" t="s">
        <v>401</v>
      </c>
      <c r="AC100" s="83" t="s">
        <v>401</v>
      </c>
      <c r="AD100" s="83">
        <v>1786000</v>
      </c>
      <c r="AF100" s="83">
        <v>0</v>
      </c>
      <c r="AJ100" s="83">
        <v>1</v>
      </c>
      <c r="AK100" s="83">
        <v>1</v>
      </c>
      <c r="AL100" s="83">
        <v>16320</v>
      </c>
      <c r="AM100" s="83" t="s">
        <v>2693</v>
      </c>
      <c r="BK100" s="83" t="s">
        <v>2694</v>
      </c>
      <c r="BL100" s="83" t="s">
        <v>2697</v>
      </c>
      <c r="BM100" s="83" t="s">
        <v>2699</v>
      </c>
      <c r="BN100" s="83" t="s">
        <v>2698</v>
      </c>
      <c r="BO100" s="83" t="s">
        <v>2697</v>
      </c>
      <c r="BP100" s="83" t="s">
        <v>2693</v>
      </c>
      <c r="BQ100" s="83" t="s">
        <v>2699</v>
      </c>
      <c r="BR100" s="83" t="s">
        <v>2693</v>
      </c>
      <c r="BS100" s="83" t="s">
        <v>2699</v>
      </c>
      <c r="BT100" s="83" t="s">
        <v>2696</v>
      </c>
      <c r="BU100" s="83" t="s">
        <v>2699</v>
      </c>
      <c r="BV100" s="83" t="s">
        <v>2696</v>
      </c>
      <c r="BW100" s="83" t="s">
        <v>2696</v>
      </c>
      <c r="BX100" s="83" t="s">
        <v>2696</v>
      </c>
      <c r="BY100" s="83" t="s">
        <v>2699</v>
      </c>
      <c r="BZ100" s="83" t="s">
        <v>2693</v>
      </c>
      <c r="CA100" s="83" t="s">
        <v>2693</v>
      </c>
      <c r="CB100" s="83">
        <v>9</v>
      </c>
      <c r="CC100" s="83" t="s">
        <v>2699</v>
      </c>
      <c r="CD100" s="83" t="s">
        <v>2699</v>
      </c>
      <c r="CF100" s="83" t="s">
        <v>1958</v>
      </c>
      <c r="CG100" s="83" t="s">
        <v>1959</v>
      </c>
      <c r="CH100" s="83" t="s">
        <v>2725</v>
      </c>
      <c r="CI100" s="83" t="s">
        <v>778</v>
      </c>
      <c r="CJ100" s="83" t="s">
        <v>2780</v>
      </c>
      <c r="CK100" s="144">
        <v>0</v>
      </c>
      <c r="CL100"/>
    </row>
    <row r="101" spans="1:90">
      <c r="A101" s="83" t="s">
        <v>1505</v>
      </c>
      <c r="B101" s="83" t="s">
        <v>693</v>
      </c>
      <c r="D101" s="83" t="s">
        <v>716</v>
      </c>
      <c r="E101" s="83" t="s">
        <v>1672</v>
      </c>
      <c r="F101" s="83" t="s">
        <v>1706</v>
      </c>
      <c r="G101" s="83" t="s">
        <v>1830</v>
      </c>
      <c r="H101" s="83" t="s">
        <v>1201</v>
      </c>
      <c r="I101" s="83" t="s">
        <v>1202</v>
      </c>
      <c r="J101" s="83" t="s">
        <v>1203</v>
      </c>
      <c r="K101" s="83" t="s">
        <v>565</v>
      </c>
      <c r="L101" s="83" t="s">
        <v>398</v>
      </c>
      <c r="M101" s="83" t="s">
        <v>399</v>
      </c>
      <c r="N101" s="83" t="s">
        <v>2752</v>
      </c>
      <c r="O101" s="83" t="s">
        <v>106</v>
      </c>
      <c r="P101" s="83">
        <v>5</v>
      </c>
      <c r="Q101" s="83" t="s">
        <v>106</v>
      </c>
      <c r="R101" s="83" t="s">
        <v>2799</v>
      </c>
      <c r="S101" s="83" t="s">
        <v>2769</v>
      </c>
      <c r="T101" s="83" t="s">
        <v>2703</v>
      </c>
      <c r="U101" s="83" t="s">
        <v>401</v>
      </c>
      <c r="AC101" s="83" t="s">
        <v>401</v>
      </c>
      <c r="AD101" s="83">
        <v>382000</v>
      </c>
      <c r="AF101" s="83">
        <v>0</v>
      </c>
      <c r="AJ101" s="83">
        <v>1</v>
      </c>
      <c r="AK101" s="83">
        <v>1</v>
      </c>
      <c r="AL101" s="83">
        <v>2500</v>
      </c>
      <c r="AM101" s="83" t="s">
        <v>2693</v>
      </c>
      <c r="BK101" s="83" t="s">
        <v>2694</v>
      </c>
      <c r="BL101" s="83" t="s">
        <v>2697</v>
      </c>
      <c r="BM101" s="83" t="s">
        <v>2699</v>
      </c>
      <c r="BN101" s="83" t="s">
        <v>2698</v>
      </c>
      <c r="BO101" s="83" t="s">
        <v>2697</v>
      </c>
      <c r="BP101" s="83" t="s">
        <v>2693</v>
      </c>
      <c r="BQ101" s="83" t="s">
        <v>2699</v>
      </c>
      <c r="BR101" s="83" t="s">
        <v>2693</v>
      </c>
      <c r="BS101" s="83" t="s">
        <v>2699</v>
      </c>
      <c r="BT101" s="83" t="s">
        <v>2696</v>
      </c>
      <c r="BU101" s="83" t="s">
        <v>2699</v>
      </c>
      <c r="BV101" s="83" t="s">
        <v>2696</v>
      </c>
      <c r="BW101" s="83" t="s">
        <v>2696</v>
      </c>
      <c r="BX101" s="83" t="s">
        <v>2696</v>
      </c>
      <c r="BY101" s="83" t="s">
        <v>2699</v>
      </c>
      <c r="BZ101" s="83" t="s">
        <v>2693</v>
      </c>
      <c r="CA101" s="83" t="s">
        <v>2693</v>
      </c>
      <c r="CB101" s="83">
        <v>9</v>
      </c>
      <c r="CC101" s="83" t="s">
        <v>2699</v>
      </c>
      <c r="CD101" s="83" t="s">
        <v>2699</v>
      </c>
      <c r="CF101" s="83" t="s">
        <v>1956</v>
      </c>
      <c r="CG101" s="83" t="s">
        <v>1957</v>
      </c>
      <c r="CH101" s="83" t="s">
        <v>2725</v>
      </c>
      <c r="CI101" s="83" t="s">
        <v>778</v>
      </c>
      <c r="CJ101" s="83" t="s">
        <v>2780</v>
      </c>
      <c r="CK101" s="144">
        <v>0</v>
      </c>
      <c r="CL101"/>
    </row>
    <row r="102" spans="1:90">
      <c r="A102" s="83" t="s">
        <v>1489</v>
      </c>
      <c r="B102" s="83" t="s">
        <v>685</v>
      </c>
      <c r="D102" s="83" t="s">
        <v>688</v>
      </c>
      <c r="E102" s="83" t="s">
        <v>685</v>
      </c>
      <c r="F102" s="83" t="s">
        <v>1707</v>
      </c>
      <c r="G102" s="83" t="s">
        <v>1298</v>
      </c>
      <c r="H102" s="83" t="s">
        <v>1201</v>
      </c>
      <c r="I102" s="83" t="s">
        <v>1202</v>
      </c>
      <c r="J102" s="83" t="s">
        <v>1203</v>
      </c>
      <c r="K102" s="83" t="s">
        <v>565</v>
      </c>
      <c r="L102" s="83" t="s">
        <v>398</v>
      </c>
      <c r="M102" s="83" t="s">
        <v>399</v>
      </c>
      <c r="N102" s="83" t="s">
        <v>2752</v>
      </c>
      <c r="O102" s="83" t="s">
        <v>106</v>
      </c>
      <c r="P102" s="83">
        <v>5</v>
      </c>
      <c r="Q102" s="83" t="s">
        <v>106</v>
      </c>
      <c r="R102" s="83" t="s">
        <v>2799</v>
      </c>
      <c r="S102" s="83" t="s">
        <v>2746</v>
      </c>
      <c r="T102" s="83" t="s">
        <v>2703</v>
      </c>
      <c r="U102" s="83" t="s">
        <v>401</v>
      </c>
      <c r="AC102" s="83" t="s">
        <v>401</v>
      </c>
      <c r="AD102" s="83">
        <v>137768000</v>
      </c>
      <c r="AF102" s="83">
        <v>12766000</v>
      </c>
      <c r="AJ102" s="83">
        <v>1</v>
      </c>
      <c r="AK102" s="83">
        <v>12</v>
      </c>
      <c r="AL102" s="83">
        <v>689930</v>
      </c>
      <c r="AM102" s="83" t="s">
        <v>2693</v>
      </c>
      <c r="BK102" s="83" t="s">
        <v>2694</v>
      </c>
      <c r="BL102" s="83" t="s">
        <v>2697</v>
      </c>
      <c r="BM102" s="83" t="s">
        <v>2699</v>
      </c>
      <c r="BN102" s="83" t="s">
        <v>2698</v>
      </c>
      <c r="BO102" s="83" t="s">
        <v>2697</v>
      </c>
      <c r="BP102" s="83" t="s">
        <v>2693</v>
      </c>
      <c r="BQ102" s="83" t="s">
        <v>2699</v>
      </c>
      <c r="BR102" s="83" t="s">
        <v>2693</v>
      </c>
      <c r="BS102" s="83" t="s">
        <v>2699</v>
      </c>
      <c r="BT102" s="83" t="s">
        <v>2696</v>
      </c>
      <c r="BU102" s="83" t="s">
        <v>2699</v>
      </c>
      <c r="BV102" s="83" t="s">
        <v>2696</v>
      </c>
      <c r="BW102" s="83" t="s">
        <v>2696</v>
      </c>
      <c r="BX102" s="83" t="s">
        <v>2696</v>
      </c>
      <c r="BY102" s="83" t="s">
        <v>2699</v>
      </c>
      <c r="BZ102" s="83" t="s">
        <v>2693</v>
      </c>
      <c r="CA102" s="83" t="s">
        <v>2693</v>
      </c>
      <c r="CB102" s="83">
        <v>9</v>
      </c>
      <c r="CC102" s="83" t="s">
        <v>2699</v>
      </c>
      <c r="CD102" s="83" t="s">
        <v>2699</v>
      </c>
      <c r="CF102" s="83" t="s">
        <v>1960</v>
      </c>
      <c r="CG102" s="83" t="s">
        <v>1961</v>
      </c>
      <c r="CH102" s="83" t="s">
        <v>2725</v>
      </c>
      <c r="CI102" s="83" t="s">
        <v>778</v>
      </c>
      <c r="CJ102" s="83" t="s">
        <v>2780</v>
      </c>
      <c r="CK102" s="144">
        <v>0</v>
      </c>
      <c r="CL102"/>
    </row>
    <row r="103" spans="1:90">
      <c r="A103" s="83" t="s">
        <v>1207</v>
      </c>
      <c r="B103" s="83" t="s">
        <v>1237</v>
      </c>
      <c r="D103" s="83" t="s">
        <v>688</v>
      </c>
      <c r="E103" s="83" t="s">
        <v>1260</v>
      </c>
      <c r="F103" s="83" t="s">
        <v>1290</v>
      </c>
      <c r="G103" s="83" t="s">
        <v>1291</v>
      </c>
      <c r="H103" s="83" t="s">
        <v>1201</v>
      </c>
      <c r="I103" s="83" t="s">
        <v>1202</v>
      </c>
      <c r="J103" s="83" t="s">
        <v>1203</v>
      </c>
      <c r="K103" s="83" t="s">
        <v>565</v>
      </c>
      <c r="L103" s="83" t="s">
        <v>398</v>
      </c>
      <c r="M103" s="83" t="s">
        <v>399</v>
      </c>
      <c r="N103" s="83" t="s">
        <v>2899</v>
      </c>
      <c r="O103" s="83" t="s">
        <v>106</v>
      </c>
      <c r="P103" s="83">
        <v>8</v>
      </c>
      <c r="Q103" s="83" t="s">
        <v>106</v>
      </c>
      <c r="R103" s="83" t="s">
        <v>2730</v>
      </c>
      <c r="S103" s="83" t="s">
        <v>1445</v>
      </c>
      <c r="T103" s="83" t="s">
        <v>2703</v>
      </c>
      <c r="U103" s="83" t="s">
        <v>401</v>
      </c>
      <c r="AC103" s="83" t="s">
        <v>401</v>
      </c>
      <c r="AD103" s="83">
        <v>12493000</v>
      </c>
      <c r="AF103" s="83">
        <v>0</v>
      </c>
      <c r="AJ103" s="83">
        <v>1</v>
      </c>
      <c r="AK103" s="83">
        <v>3</v>
      </c>
      <c r="AL103" s="83">
        <v>67359</v>
      </c>
      <c r="AM103" s="83" t="s">
        <v>2693</v>
      </c>
      <c r="BK103" s="83" t="s">
        <v>2694</v>
      </c>
      <c r="BL103" s="83" t="s">
        <v>2695</v>
      </c>
      <c r="BM103" s="83" t="s">
        <v>2699</v>
      </c>
      <c r="BN103" s="83" t="s">
        <v>2698</v>
      </c>
      <c r="BO103" s="83" t="s">
        <v>2696</v>
      </c>
      <c r="BP103" s="83" t="s">
        <v>2697</v>
      </c>
      <c r="BQ103" s="83" t="s">
        <v>2696</v>
      </c>
      <c r="BR103" s="83" t="s">
        <v>2693</v>
      </c>
      <c r="BS103" s="83" t="s">
        <v>2699</v>
      </c>
      <c r="BT103" s="83" t="s">
        <v>2696</v>
      </c>
      <c r="BU103" s="83" t="s">
        <v>2699</v>
      </c>
      <c r="BV103" s="83" t="s">
        <v>2696</v>
      </c>
      <c r="BW103" s="83" t="s">
        <v>2699</v>
      </c>
      <c r="BX103" s="83" t="s">
        <v>2696</v>
      </c>
      <c r="BY103" s="83" t="s">
        <v>2696</v>
      </c>
      <c r="BZ103" s="83" t="s">
        <v>2693</v>
      </c>
      <c r="CA103" s="83" t="s">
        <v>2699</v>
      </c>
      <c r="CB103" s="83">
        <v>8</v>
      </c>
      <c r="CC103" s="83" t="s">
        <v>2696</v>
      </c>
      <c r="CD103" s="83" t="s">
        <v>2699</v>
      </c>
      <c r="CF103" s="83" t="s">
        <v>1348</v>
      </c>
      <c r="CG103" s="83" t="s">
        <v>1349</v>
      </c>
      <c r="CH103" s="83" t="s">
        <v>2695</v>
      </c>
      <c r="CI103" s="83" t="s">
        <v>648</v>
      </c>
      <c r="CJ103" s="83" t="s">
        <v>2863</v>
      </c>
      <c r="CK103" s="144">
        <v>0</v>
      </c>
      <c r="CL103" s="99">
        <v>24000</v>
      </c>
    </row>
    <row r="104" spans="1:90">
      <c r="A104" s="83" t="s">
        <v>1534</v>
      </c>
      <c r="B104" s="83" t="s">
        <v>3747</v>
      </c>
      <c r="D104" s="83" t="s">
        <v>688</v>
      </c>
      <c r="E104" s="83" t="s">
        <v>3747</v>
      </c>
      <c r="F104" s="83" t="s">
        <v>1297</v>
      </c>
      <c r="G104" s="83" t="s">
        <v>1831</v>
      </c>
      <c r="H104" s="83" t="s">
        <v>1201</v>
      </c>
      <c r="I104" s="83" t="s">
        <v>1202</v>
      </c>
      <c r="J104" s="83" t="s">
        <v>1203</v>
      </c>
      <c r="K104" s="83" t="s">
        <v>565</v>
      </c>
      <c r="L104" s="83" t="s">
        <v>398</v>
      </c>
      <c r="M104" s="83" t="s">
        <v>399</v>
      </c>
      <c r="N104" s="83" t="s">
        <v>2709</v>
      </c>
      <c r="O104" s="83" t="s">
        <v>106</v>
      </c>
      <c r="P104" s="83">
        <v>4</v>
      </c>
      <c r="Q104" s="83" t="s">
        <v>106</v>
      </c>
      <c r="R104" s="83" t="s">
        <v>2691</v>
      </c>
      <c r="S104" s="83" t="s">
        <v>2720</v>
      </c>
      <c r="T104" s="83" t="s">
        <v>2703</v>
      </c>
      <c r="U104" s="83" t="s">
        <v>401</v>
      </c>
      <c r="AC104" s="83" t="s">
        <v>401</v>
      </c>
      <c r="AD104" s="83">
        <v>184000</v>
      </c>
      <c r="AF104" s="83">
        <v>21000</v>
      </c>
      <c r="AJ104" s="83">
        <v>1</v>
      </c>
      <c r="AK104" s="83">
        <v>1</v>
      </c>
      <c r="AL104" s="83">
        <v>2108</v>
      </c>
      <c r="AM104" s="83" t="s">
        <v>2693</v>
      </c>
      <c r="BK104" s="83" t="s">
        <v>2694</v>
      </c>
      <c r="BL104" s="83" t="s">
        <v>2704</v>
      </c>
      <c r="BM104" s="83" t="s">
        <v>2698</v>
      </c>
      <c r="BN104" s="83" t="s">
        <v>2699</v>
      </c>
      <c r="BO104" s="83" t="s">
        <v>2697</v>
      </c>
      <c r="BP104" s="83" t="s">
        <v>2698</v>
      </c>
      <c r="BQ104" s="83" t="s">
        <v>2693</v>
      </c>
      <c r="BR104" s="83" t="s">
        <v>2693</v>
      </c>
      <c r="BS104" s="83" t="s">
        <v>2696</v>
      </c>
      <c r="BT104" s="83" t="s">
        <v>2696</v>
      </c>
      <c r="BU104" s="83" t="s">
        <v>2699</v>
      </c>
      <c r="BV104" s="83" t="s">
        <v>2696</v>
      </c>
      <c r="BW104" s="83" t="s">
        <v>2695</v>
      </c>
      <c r="BX104" s="83" t="s">
        <v>2696</v>
      </c>
      <c r="BY104" s="83" t="s">
        <v>2699</v>
      </c>
      <c r="BZ104" s="83" t="s">
        <v>2693</v>
      </c>
      <c r="CA104" s="83" t="s">
        <v>2693</v>
      </c>
      <c r="CB104" s="83">
        <v>9</v>
      </c>
      <c r="CC104" s="83" t="s">
        <v>2693</v>
      </c>
      <c r="CD104" s="83" t="s">
        <v>2696</v>
      </c>
      <c r="CF104" s="83" t="s">
        <v>1962</v>
      </c>
      <c r="CG104" s="83" t="s">
        <v>1963</v>
      </c>
      <c r="CH104" s="83" t="s">
        <v>2693</v>
      </c>
      <c r="CI104" s="83" t="s">
        <v>1395</v>
      </c>
      <c r="CJ104" s="83" t="s">
        <v>2701</v>
      </c>
      <c r="CK104" s="144">
        <v>0</v>
      </c>
      <c r="CL104" s="99">
        <v>24000</v>
      </c>
    </row>
    <row r="105" spans="1:90">
      <c r="A105" s="83" t="s">
        <v>1535</v>
      </c>
      <c r="B105" s="83" t="s">
        <v>1615</v>
      </c>
      <c r="D105" s="83" t="s">
        <v>688</v>
      </c>
      <c r="E105" s="83" t="s">
        <v>1012</v>
      </c>
      <c r="F105" s="83" t="s">
        <v>1708</v>
      </c>
      <c r="G105" s="83" t="s">
        <v>1832</v>
      </c>
      <c r="H105" s="83" t="s">
        <v>1201</v>
      </c>
      <c r="I105" s="83" t="s">
        <v>1202</v>
      </c>
      <c r="J105" s="83" t="s">
        <v>1203</v>
      </c>
      <c r="K105" s="83" t="s">
        <v>565</v>
      </c>
      <c r="L105" s="83" t="s">
        <v>398</v>
      </c>
      <c r="M105" s="83" t="s">
        <v>399</v>
      </c>
      <c r="N105" s="83" t="s">
        <v>2743</v>
      </c>
      <c r="O105" s="83" t="s">
        <v>106</v>
      </c>
      <c r="P105" s="83">
        <v>4</v>
      </c>
      <c r="Q105" s="83" t="s">
        <v>106</v>
      </c>
      <c r="R105" s="83" t="s">
        <v>2691</v>
      </c>
      <c r="S105" s="83" t="s">
        <v>2712</v>
      </c>
      <c r="T105" s="83" t="s">
        <v>2716</v>
      </c>
      <c r="U105" s="83" t="s">
        <v>401</v>
      </c>
      <c r="AC105" s="83" t="s">
        <v>401</v>
      </c>
      <c r="AD105" s="83">
        <v>341000</v>
      </c>
      <c r="AF105" s="83">
        <v>45000</v>
      </c>
      <c r="AJ105" s="83">
        <v>1</v>
      </c>
      <c r="AK105" s="83">
        <v>1</v>
      </c>
      <c r="AL105" s="83">
        <v>4500</v>
      </c>
      <c r="AM105" s="83" t="s">
        <v>2693</v>
      </c>
      <c r="BK105" s="83" t="s">
        <v>2694</v>
      </c>
      <c r="BL105" s="83" t="s">
        <v>2704</v>
      </c>
      <c r="BM105" s="83" t="s">
        <v>2698</v>
      </c>
      <c r="BN105" s="83" t="s">
        <v>2699</v>
      </c>
      <c r="BO105" s="83" t="s">
        <v>2693</v>
      </c>
      <c r="BP105" s="83" t="s">
        <v>2698</v>
      </c>
      <c r="BQ105" s="83" t="s">
        <v>2693</v>
      </c>
      <c r="BR105" s="83" t="s">
        <v>2693</v>
      </c>
      <c r="BS105" s="83" t="s">
        <v>2699</v>
      </c>
      <c r="BT105" s="83" t="s">
        <v>2696</v>
      </c>
      <c r="BU105" s="83" t="s">
        <v>2699</v>
      </c>
      <c r="BV105" s="83" t="s">
        <v>2696</v>
      </c>
      <c r="BW105" s="83" t="s">
        <v>2695</v>
      </c>
      <c r="BX105" s="83" t="s">
        <v>2696</v>
      </c>
      <c r="BY105" s="83" t="s">
        <v>2699</v>
      </c>
      <c r="BZ105" s="83" t="s">
        <v>2693</v>
      </c>
      <c r="CA105" s="83" t="s">
        <v>2693</v>
      </c>
      <c r="CB105" s="83">
        <v>9</v>
      </c>
      <c r="CC105" s="83" t="s">
        <v>2696</v>
      </c>
      <c r="CD105" s="83" t="s">
        <v>2696</v>
      </c>
      <c r="CF105" s="83" t="s">
        <v>1964</v>
      </c>
      <c r="CG105" s="83" t="s">
        <v>1965</v>
      </c>
      <c r="CH105" s="83" t="s">
        <v>2693</v>
      </c>
      <c r="CI105" s="83" t="s">
        <v>1395</v>
      </c>
      <c r="CJ105" s="83" t="s">
        <v>2701</v>
      </c>
      <c r="CK105" s="144">
        <v>0</v>
      </c>
      <c r="CL105" s="99">
        <v>94000</v>
      </c>
    </row>
    <row r="106" spans="1:90">
      <c r="A106" s="83" t="s">
        <v>1536</v>
      </c>
      <c r="B106" s="83" t="s">
        <v>1616</v>
      </c>
      <c r="D106" s="83" t="s">
        <v>688</v>
      </c>
      <c r="E106" s="83" t="s">
        <v>1012</v>
      </c>
      <c r="F106" s="83" t="s">
        <v>1709</v>
      </c>
      <c r="G106" s="83" t="s">
        <v>1833</v>
      </c>
      <c r="H106" s="83" t="s">
        <v>1201</v>
      </c>
      <c r="I106" s="83" t="s">
        <v>1202</v>
      </c>
      <c r="J106" s="83" t="s">
        <v>1203</v>
      </c>
      <c r="K106" s="83" t="s">
        <v>565</v>
      </c>
      <c r="L106" s="83" t="s">
        <v>398</v>
      </c>
      <c r="M106" s="83" t="s">
        <v>399</v>
      </c>
      <c r="N106" s="83" t="s">
        <v>2744</v>
      </c>
      <c r="O106" s="83" t="s">
        <v>106</v>
      </c>
      <c r="P106" s="83">
        <v>8</v>
      </c>
      <c r="Q106" s="83" t="s">
        <v>106</v>
      </c>
      <c r="R106" s="83" t="s">
        <v>2691</v>
      </c>
      <c r="S106" s="83" t="s">
        <v>1451</v>
      </c>
      <c r="T106" s="83" t="s">
        <v>1451</v>
      </c>
      <c r="U106" s="83" t="s">
        <v>401</v>
      </c>
      <c r="AC106" s="83" t="s">
        <v>401</v>
      </c>
      <c r="AD106" s="83">
        <v>456000</v>
      </c>
      <c r="AF106" s="83">
        <v>48000</v>
      </c>
      <c r="AJ106" s="83">
        <v>1</v>
      </c>
      <c r="AK106" s="83">
        <v>1</v>
      </c>
      <c r="AL106" s="83">
        <v>4900</v>
      </c>
      <c r="AM106" s="83" t="s">
        <v>2693</v>
      </c>
      <c r="BK106" s="83" t="s">
        <v>2694</v>
      </c>
      <c r="BL106" s="83" t="s">
        <v>2693</v>
      </c>
      <c r="BM106" s="83" t="s">
        <v>2697</v>
      </c>
      <c r="BN106" s="83" t="s">
        <v>2698</v>
      </c>
      <c r="BO106" s="83" t="s">
        <v>2697</v>
      </c>
      <c r="BP106" s="83" t="s">
        <v>2697</v>
      </c>
      <c r="BQ106" s="83" t="s">
        <v>2699</v>
      </c>
      <c r="BR106" s="83" t="s">
        <v>2693</v>
      </c>
      <c r="BS106" s="83" t="s">
        <v>2699</v>
      </c>
      <c r="BT106" s="83" t="s">
        <v>2696</v>
      </c>
      <c r="BU106" s="83" t="s">
        <v>2699</v>
      </c>
      <c r="BV106" s="83" t="s">
        <v>2696</v>
      </c>
      <c r="BW106" s="83" t="s">
        <v>2695</v>
      </c>
      <c r="BX106" s="83" t="s">
        <v>2696</v>
      </c>
      <c r="BY106" s="83" t="s">
        <v>2699</v>
      </c>
      <c r="BZ106" s="83" t="s">
        <v>2693</v>
      </c>
      <c r="CA106" s="83" t="s">
        <v>2693</v>
      </c>
      <c r="CB106" s="83">
        <v>9</v>
      </c>
      <c r="CC106" s="83" t="s">
        <v>2699</v>
      </c>
      <c r="CD106" s="83" t="s">
        <v>2696</v>
      </c>
      <c r="CF106" s="83" t="s">
        <v>1966</v>
      </c>
      <c r="CG106" s="83" t="s">
        <v>1967</v>
      </c>
      <c r="CH106" s="83" t="s">
        <v>2695</v>
      </c>
      <c r="CI106" s="83" t="s">
        <v>648</v>
      </c>
      <c r="CJ106" s="83" t="s">
        <v>2726</v>
      </c>
      <c r="CK106" s="144">
        <v>0</v>
      </c>
      <c r="CL106" s="99">
        <v>42000</v>
      </c>
    </row>
    <row r="107" spans="1:90">
      <c r="A107" s="83" t="s">
        <v>1537</v>
      </c>
      <c r="B107" s="83" t="s">
        <v>1617</v>
      </c>
      <c r="D107" s="83" t="s">
        <v>688</v>
      </c>
      <c r="E107" s="83" t="s">
        <v>1673</v>
      </c>
      <c r="F107" s="83" t="s">
        <v>1709</v>
      </c>
      <c r="G107" s="83" t="s">
        <v>1833</v>
      </c>
      <c r="H107" s="83" t="s">
        <v>1201</v>
      </c>
      <c r="I107" s="83" t="s">
        <v>1202</v>
      </c>
      <c r="J107" s="83" t="s">
        <v>1203</v>
      </c>
      <c r="K107" s="83" t="s">
        <v>565</v>
      </c>
      <c r="L107" s="83" t="s">
        <v>398</v>
      </c>
      <c r="M107" s="83" t="s">
        <v>399</v>
      </c>
      <c r="N107" s="83" t="s">
        <v>2744</v>
      </c>
      <c r="O107" s="83" t="s">
        <v>106</v>
      </c>
      <c r="P107" s="83">
        <v>4</v>
      </c>
      <c r="Q107" s="83" t="s">
        <v>106</v>
      </c>
      <c r="R107" s="83" t="s">
        <v>2691</v>
      </c>
      <c r="S107" s="83" t="s">
        <v>2759</v>
      </c>
      <c r="T107" s="83" t="s">
        <v>2759</v>
      </c>
      <c r="U107" s="83" t="s">
        <v>401</v>
      </c>
      <c r="AC107" s="83" t="s">
        <v>401</v>
      </c>
      <c r="AD107" s="83">
        <v>221000</v>
      </c>
      <c r="AF107" s="83">
        <v>0</v>
      </c>
      <c r="AJ107" s="83">
        <v>1</v>
      </c>
      <c r="AK107" s="83">
        <v>1</v>
      </c>
      <c r="AL107" s="83">
        <v>2100</v>
      </c>
      <c r="AM107" s="83" t="s">
        <v>2693</v>
      </c>
      <c r="BK107" s="83" t="s">
        <v>2694</v>
      </c>
      <c r="BL107" s="83" t="s">
        <v>2693</v>
      </c>
      <c r="BM107" s="83" t="s">
        <v>2698</v>
      </c>
      <c r="BN107" s="83" t="s">
        <v>2699</v>
      </c>
      <c r="BO107" s="83" t="s">
        <v>2697</v>
      </c>
      <c r="BP107" s="83" t="s">
        <v>2698</v>
      </c>
      <c r="BQ107" s="83" t="s">
        <v>2699</v>
      </c>
      <c r="BR107" s="83" t="s">
        <v>2693</v>
      </c>
      <c r="BS107" s="83" t="s">
        <v>2699</v>
      </c>
      <c r="BT107" s="83" t="s">
        <v>2696</v>
      </c>
      <c r="BU107" s="83" t="s">
        <v>2699</v>
      </c>
      <c r="BV107" s="83" t="s">
        <v>2696</v>
      </c>
      <c r="BW107" s="83" t="s">
        <v>2695</v>
      </c>
      <c r="BX107" s="83" t="s">
        <v>2696</v>
      </c>
      <c r="BY107" s="83" t="s">
        <v>2699</v>
      </c>
      <c r="BZ107" s="83" t="s">
        <v>2693</v>
      </c>
      <c r="CA107" s="83" t="s">
        <v>2693</v>
      </c>
      <c r="CB107" s="83">
        <v>9</v>
      </c>
      <c r="CC107" s="83" t="s">
        <v>2696</v>
      </c>
      <c r="CD107" s="83" t="s">
        <v>2696</v>
      </c>
      <c r="CF107" s="83" t="s">
        <v>1968</v>
      </c>
      <c r="CG107" s="83" t="s">
        <v>1969</v>
      </c>
      <c r="CH107" s="83" t="s">
        <v>2693</v>
      </c>
      <c r="CI107" s="83" t="s">
        <v>1395</v>
      </c>
      <c r="CJ107" s="83" t="s">
        <v>2701</v>
      </c>
      <c r="CK107" s="144">
        <v>0</v>
      </c>
      <c r="CL107" s="99">
        <v>245000</v>
      </c>
    </row>
    <row r="108" spans="1:90">
      <c r="A108" s="83" t="s">
        <v>1537</v>
      </c>
      <c r="B108" s="83" t="s">
        <v>1617</v>
      </c>
      <c r="D108" s="83" t="s">
        <v>673</v>
      </c>
      <c r="E108" s="83" t="s">
        <v>894</v>
      </c>
      <c r="F108" s="83" t="s">
        <v>1709</v>
      </c>
      <c r="G108" s="83" t="s">
        <v>1833</v>
      </c>
      <c r="H108" s="83" t="s">
        <v>1201</v>
      </c>
      <c r="I108" s="83" t="s">
        <v>1202</v>
      </c>
      <c r="J108" s="83" t="s">
        <v>1203</v>
      </c>
      <c r="K108" s="83" t="s">
        <v>565</v>
      </c>
      <c r="L108" s="83" t="s">
        <v>398</v>
      </c>
      <c r="M108" s="83" t="s">
        <v>399</v>
      </c>
      <c r="N108" s="83" t="s">
        <v>2744</v>
      </c>
      <c r="O108" s="83" t="s">
        <v>106</v>
      </c>
      <c r="P108" s="83">
        <v>4</v>
      </c>
      <c r="Q108" s="83" t="s">
        <v>106</v>
      </c>
      <c r="R108" s="83" t="s">
        <v>2691</v>
      </c>
      <c r="S108" s="83" t="s">
        <v>1468</v>
      </c>
      <c r="T108" s="83" t="s">
        <v>1468</v>
      </c>
      <c r="U108" s="83" t="s">
        <v>401</v>
      </c>
      <c r="AC108" s="83" t="s">
        <v>401</v>
      </c>
      <c r="AD108" s="83">
        <v>118000</v>
      </c>
      <c r="AF108" s="83">
        <v>3000</v>
      </c>
      <c r="AJ108" s="83">
        <v>1</v>
      </c>
      <c r="AK108" s="83">
        <v>1</v>
      </c>
      <c r="AL108" s="83">
        <v>792</v>
      </c>
      <c r="AM108" s="83" t="s">
        <v>2693</v>
      </c>
      <c r="BK108" s="83" t="s">
        <v>2694</v>
      </c>
      <c r="BL108" s="83" t="s">
        <v>2693</v>
      </c>
      <c r="BM108" s="83" t="s">
        <v>2698</v>
      </c>
      <c r="BN108" s="83" t="s">
        <v>2699</v>
      </c>
      <c r="BO108" s="83" t="s">
        <v>2693</v>
      </c>
      <c r="BP108" s="83" t="s">
        <v>2698</v>
      </c>
      <c r="BQ108" s="83" t="s">
        <v>2699</v>
      </c>
      <c r="BR108" s="83" t="s">
        <v>2693</v>
      </c>
      <c r="BS108" s="83" t="s">
        <v>2699</v>
      </c>
      <c r="BT108" s="83" t="s">
        <v>2696</v>
      </c>
      <c r="BU108" s="83" t="s">
        <v>2699</v>
      </c>
      <c r="BV108" s="79">
        <v>0</v>
      </c>
      <c r="BW108" s="83" t="s">
        <v>2695</v>
      </c>
      <c r="BX108" s="83" t="s">
        <v>2696</v>
      </c>
      <c r="BY108" s="83" t="s">
        <v>2699</v>
      </c>
      <c r="BZ108" s="83" t="s">
        <v>2693</v>
      </c>
      <c r="CA108" s="83" t="s">
        <v>2693</v>
      </c>
      <c r="CB108" s="83">
        <v>9</v>
      </c>
      <c r="CC108" s="83" t="s">
        <v>2699</v>
      </c>
      <c r="CD108" s="83" t="s">
        <v>2696</v>
      </c>
      <c r="CF108" s="83" t="s">
        <v>3748</v>
      </c>
      <c r="CG108" s="83" t="s">
        <v>1970</v>
      </c>
      <c r="CH108" s="83" t="s">
        <v>2693</v>
      </c>
      <c r="CI108" s="83" t="s">
        <v>1395</v>
      </c>
      <c r="CJ108" s="83" t="s">
        <v>2701</v>
      </c>
      <c r="CK108" s="144">
        <v>0</v>
      </c>
      <c r="CL108"/>
    </row>
    <row r="109" spans="1:90">
      <c r="A109" s="79" t="s">
        <v>3749</v>
      </c>
      <c r="B109" s="79" t="s">
        <v>3795</v>
      </c>
      <c r="C109" s="79"/>
      <c r="D109" s="79" t="s">
        <v>688</v>
      </c>
      <c r="E109" s="79" t="s">
        <v>2628</v>
      </c>
      <c r="F109" s="79">
        <v>1410</v>
      </c>
      <c r="G109" s="79" t="s">
        <v>2265</v>
      </c>
      <c r="H109" s="79" t="s">
        <v>1201</v>
      </c>
      <c r="I109" s="79" t="s">
        <v>1202</v>
      </c>
      <c r="J109" s="79" t="s">
        <v>1203</v>
      </c>
      <c r="K109" s="79" t="s">
        <v>565</v>
      </c>
      <c r="L109" s="79" t="s">
        <v>398</v>
      </c>
      <c r="M109" s="79" t="s">
        <v>399</v>
      </c>
      <c r="N109" s="79" t="s">
        <v>2752</v>
      </c>
      <c r="O109" s="79" t="s">
        <v>106</v>
      </c>
      <c r="P109" s="79">
        <v>4</v>
      </c>
      <c r="Q109" s="79" t="s">
        <v>106</v>
      </c>
      <c r="R109" s="79" t="s">
        <v>2691</v>
      </c>
      <c r="S109" s="90">
        <v>30681</v>
      </c>
      <c r="T109" s="79" t="s">
        <v>2703</v>
      </c>
      <c r="U109" s="79" t="s">
        <v>401</v>
      </c>
      <c r="AC109" s="79" t="s">
        <v>401</v>
      </c>
      <c r="AD109" s="79">
        <v>82000</v>
      </c>
      <c r="AE109" s="79"/>
      <c r="AF109" s="79">
        <v>2000</v>
      </c>
      <c r="AG109" s="79"/>
      <c r="AH109" s="79"/>
      <c r="AI109" s="79"/>
      <c r="AJ109" s="79">
        <v>1</v>
      </c>
      <c r="AK109" s="83">
        <v>1</v>
      </c>
      <c r="AL109" s="79">
        <v>695</v>
      </c>
      <c r="AM109" s="79" t="s">
        <v>2693</v>
      </c>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v>9</v>
      </c>
      <c r="BL109" s="79">
        <v>2</v>
      </c>
      <c r="BM109" s="79">
        <v>5</v>
      </c>
      <c r="BN109" s="79">
        <v>5</v>
      </c>
      <c r="BO109" s="79">
        <v>2</v>
      </c>
      <c r="BP109" s="79">
        <v>5</v>
      </c>
      <c r="BQ109" s="79">
        <v>1</v>
      </c>
      <c r="BR109" s="79">
        <v>2</v>
      </c>
      <c r="BS109" s="79">
        <v>1</v>
      </c>
      <c r="BT109" s="79">
        <v>0</v>
      </c>
      <c r="BU109" s="79">
        <v>1</v>
      </c>
      <c r="BV109" s="79">
        <v>0</v>
      </c>
      <c r="BW109" s="79">
        <v>5</v>
      </c>
      <c r="BX109" s="83">
        <v>0</v>
      </c>
      <c r="BY109" s="79">
        <v>1</v>
      </c>
      <c r="BZ109" s="79">
        <v>0</v>
      </c>
      <c r="CA109" s="79">
        <v>1</v>
      </c>
      <c r="CB109" s="79">
        <v>9</v>
      </c>
      <c r="CC109" s="79">
        <v>2</v>
      </c>
      <c r="CD109" s="83" t="s">
        <v>2696</v>
      </c>
      <c r="CE109" s="79"/>
      <c r="CF109" s="79" t="s">
        <v>3878</v>
      </c>
      <c r="CG109" s="79" t="s">
        <v>3879</v>
      </c>
      <c r="CH109" s="79" t="s">
        <v>2693</v>
      </c>
      <c r="CI109" s="83" t="s">
        <v>3992</v>
      </c>
      <c r="CJ109" s="83" t="s">
        <v>2701</v>
      </c>
      <c r="CK109" s="145"/>
      <c r="CL109" s="99">
        <v>3584000</v>
      </c>
    </row>
    <row r="110" spans="1:90">
      <c r="A110" s="79" t="s">
        <v>3749</v>
      </c>
      <c r="B110" s="79" t="s">
        <v>3795</v>
      </c>
      <c r="C110" s="79"/>
      <c r="D110" s="79" t="s">
        <v>673</v>
      </c>
      <c r="E110" s="79" t="s">
        <v>3818</v>
      </c>
      <c r="F110" s="79">
        <v>1410</v>
      </c>
      <c r="G110" s="79" t="s">
        <v>2265</v>
      </c>
      <c r="H110" s="79" t="s">
        <v>1201</v>
      </c>
      <c r="I110" s="79" t="s">
        <v>1202</v>
      </c>
      <c r="J110" s="79" t="s">
        <v>1203</v>
      </c>
      <c r="K110" s="79" t="s">
        <v>565</v>
      </c>
      <c r="L110" s="79" t="s">
        <v>398</v>
      </c>
      <c r="M110" s="79" t="s">
        <v>399</v>
      </c>
      <c r="N110" s="79" t="s">
        <v>2752</v>
      </c>
      <c r="O110" s="79" t="s">
        <v>106</v>
      </c>
      <c r="P110" s="79">
        <v>4</v>
      </c>
      <c r="Q110" s="79" t="s">
        <v>106</v>
      </c>
      <c r="R110" s="79" t="s">
        <v>2691</v>
      </c>
      <c r="S110" s="90">
        <v>30681</v>
      </c>
      <c r="T110" s="79" t="s">
        <v>2703</v>
      </c>
      <c r="U110" s="79" t="s">
        <v>401</v>
      </c>
      <c r="AC110" s="79" t="s">
        <v>401</v>
      </c>
      <c r="AD110" s="79">
        <v>388000</v>
      </c>
      <c r="AE110" s="79"/>
      <c r="AF110" s="79">
        <v>177000</v>
      </c>
      <c r="AG110" s="79"/>
      <c r="AH110" s="79"/>
      <c r="AI110" s="79"/>
      <c r="AJ110" s="79">
        <v>1</v>
      </c>
      <c r="AK110" s="83">
        <v>1</v>
      </c>
      <c r="AL110" s="79">
        <v>6840</v>
      </c>
      <c r="AM110" s="79" t="s">
        <v>2693</v>
      </c>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v>9</v>
      </c>
      <c r="BL110" s="79">
        <v>7</v>
      </c>
      <c r="BM110" s="79">
        <v>5</v>
      </c>
      <c r="BN110" s="79">
        <v>5</v>
      </c>
      <c r="BO110" s="79">
        <v>2</v>
      </c>
      <c r="BP110" s="79">
        <v>5</v>
      </c>
      <c r="BQ110" s="79">
        <v>1</v>
      </c>
      <c r="BR110" s="79">
        <v>2</v>
      </c>
      <c r="BS110" s="79">
        <v>1</v>
      </c>
      <c r="BT110" s="79">
        <v>0</v>
      </c>
      <c r="BU110" s="79">
        <v>1</v>
      </c>
      <c r="BV110" s="79">
        <v>0</v>
      </c>
      <c r="BW110" s="79">
        <v>5</v>
      </c>
      <c r="BX110" s="83">
        <v>0</v>
      </c>
      <c r="BY110" s="79">
        <v>1</v>
      </c>
      <c r="BZ110" s="79">
        <v>0</v>
      </c>
      <c r="CA110" s="79">
        <v>1</v>
      </c>
      <c r="CB110" s="79">
        <v>9</v>
      </c>
      <c r="CC110" s="79">
        <v>2</v>
      </c>
      <c r="CD110" s="83" t="s">
        <v>2696</v>
      </c>
      <c r="CE110" s="79"/>
      <c r="CF110" s="79" t="s">
        <v>3880</v>
      </c>
      <c r="CG110" s="79" t="s">
        <v>3043</v>
      </c>
      <c r="CH110" s="79" t="s">
        <v>2693</v>
      </c>
      <c r="CI110" s="83" t="s">
        <v>3992</v>
      </c>
      <c r="CJ110" s="83" t="s">
        <v>2701</v>
      </c>
      <c r="CK110" s="145"/>
      <c r="CL110"/>
    </row>
    <row r="111" spans="1:90">
      <c r="A111" s="79" t="s">
        <v>3749</v>
      </c>
      <c r="B111" s="79" t="s">
        <v>3795</v>
      </c>
      <c r="C111" s="79"/>
      <c r="D111" s="79" t="s">
        <v>714</v>
      </c>
      <c r="E111" s="79" t="s">
        <v>2548</v>
      </c>
      <c r="F111" s="79">
        <v>1410</v>
      </c>
      <c r="G111" s="79" t="s">
        <v>2265</v>
      </c>
      <c r="H111" s="79" t="s">
        <v>1201</v>
      </c>
      <c r="I111" s="79" t="s">
        <v>1202</v>
      </c>
      <c r="J111" s="79" t="s">
        <v>1203</v>
      </c>
      <c r="K111" s="79" t="s">
        <v>565</v>
      </c>
      <c r="L111" s="79" t="s">
        <v>398</v>
      </c>
      <c r="M111" s="79" t="s">
        <v>399</v>
      </c>
      <c r="N111" s="79" t="s">
        <v>2752</v>
      </c>
      <c r="O111" s="79" t="s">
        <v>106</v>
      </c>
      <c r="P111" s="79">
        <v>4</v>
      </c>
      <c r="Q111" s="79" t="s">
        <v>106</v>
      </c>
      <c r="R111" s="79" t="s">
        <v>2691</v>
      </c>
      <c r="S111" s="90">
        <v>30681</v>
      </c>
      <c r="T111" s="79" t="s">
        <v>2703</v>
      </c>
      <c r="U111" s="79" t="s">
        <v>401</v>
      </c>
      <c r="AC111" s="79" t="s">
        <v>401</v>
      </c>
      <c r="AD111" s="79">
        <v>177000</v>
      </c>
      <c r="AE111" s="79"/>
      <c r="AF111" s="79">
        <v>5000</v>
      </c>
      <c r="AG111" s="79"/>
      <c r="AH111" s="79"/>
      <c r="AI111" s="79"/>
      <c r="AJ111" s="79">
        <v>1</v>
      </c>
      <c r="AK111" s="83">
        <v>1</v>
      </c>
      <c r="AL111" s="79">
        <v>1600</v>
      </c>
      <c r="AM111" s="79" t="s">
        <v>2693</v>
      </c>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v>9</v>
      </c>
      <c r="BL111" s="79">
        <v>2</v>
      </c>
      <c r="BM111" s="79">
        <v>5</v>
      </c>
      <c r="BN111" s="79">
        <v>5</v>
      </c>
      <c r="BO111" s="79">
        <v>2</v>
      </c>
      <c r="BP111" s="79">
        <v>5</v>
      </c>
      <c r="BQ111" s="79">
        <v>1</v>
      </c>
      <c r="BR111" s="79">
        <v>2</v>
      </c>
      <c r="BS111" s="79">
        <v>1</v>
      </c>
      <c r="BT111" s="79">
        <v>0</v>
      </c>
      <c r="BU111" s="79">
        <v>1</v>
      </c>
      <c r="BV111" s="79">
        <v>0</v>
      </c>
      <c r="BW111" s="79">
        <v>5</v>
      </c>
      <c r="BX111" s="83">
        <v>0</v>
      </c>
      <c r="BY111" s="79">
        <v>1</v>
      </c>
      <c r="BZ111" s="79">
        <v>0</v>
      </c>
      <c r="CA111" s="79">
        <v>1</v>
      </c>
      <c r="CB111" s="79">
        <v>9</v>
      </c>
      <c r="CC111" s="79">
        <v>2</v>
      </c>
      <c r="CD111" s="83" t="s">
        <v>2696</v>
      </c>
      <c r="CE111" s="79"/>
      <c r="CF111" s="79" t="s">
        <v>3881</v>
      </c>
      <c r="CG111" s="79" t="s">
        <v>3882</v>
      </c>
      <c r="CH111" s="79" t="s">
        <v>2693</v>
      </c>
      <c r="CI111" s="83" t="s">
        <v>3992</v>
      </c>
      <c r="CJ111" s="83" t="s">
        <v>2701</v>
      </c>
      <c r="CK111" s="145"/>
      <c r="CL111"/>
    </row>
    <row r="112" spans="1:90">
      <c r="A112" s="79" t="s">
        <v>3749</v>
      </c>
      <c r="B112" s="79" t="s">
        <v>3795</v>
      </c>
      <c r="C112" s="79"/>
      <c r="D112" s="79" t="s">
        <v>716</v>
      </c>
      <c r="E112" s="79" t="s">
        <v>811</v>
      </c>
      <c r="F112" s="79">
        <v>1410</v>
      </c>
      <c r="G112" s="79" t="s">
        <v>2265</v>
      </c>
      <c r="H112" s="79" t="s">
        <v>1201</v>
      </c>
      <c r="I112" s="79" t="s">
        <v>1202</v>
      </c>
      <c r="J112" s="79" t="s">
        <v>1203</v>
      </c>
      <c r="K112" s="79" t="s">
        <v>565</v>
      </c>
      <c r="L112" s="79" t="s">
        <v>398</v>
      </c>
      <c r="M112" s="79" t="s">
        <v>399</v>
      </c>
      <c r="N112" s="79" t="s">
        <v>2752</v>
      </c>
      <c r="O112" s="79" t="s">
        <v>106</v>
      </c>
      <c r="P112" s="79">
        <v>1</v>
      </c>
      <c r="Q112" s="79" t="s">
        <v>106</v>
      </c>
      <c r="R112" s="79">
        <v>10</v>
      </c>
      <c r="S112" s="79" t="s">
        <v>3991</v>
      </c>
      <c r="T112" s="79" t="s">
        <v>2703</v>
      </c>
      <c r="U112" s="79" t="s">
        <v>401</v>
      </c>
      <c r="AC112" s="79" t="s">
        <v>401</v>
      </c>
      <c r="AD112" s="79">
        <v>88000</v>
      </c>
      <c r="AE112" s="79"/>
      <c r="AF112" s="79">
        <v>0</v>
      </c>
      <c r="AG112" s="79"/>
      <c r="AH112" s="79"/>
      <c r="AI112" s="79"/>
      <c r="AJ112" s="79">
        <v>1</v>
      </c>
      <c r="AK112" s="83">
        <v>1</v>
      </c>
      <c r="AL112" s="79">
        <v>4050</v>
      </c>
      <c r="AM112" s="79" t="s">
        <v>2693</v>
      </c>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v>9</v>
      </c>
      <c r="BL112" s="79">
        <v>2</v>
      </c>
      <c r="BM112" s="79">
        <v>5</v>
      </c>
      <c r="BN112" s="79">
        <v>5</v>
      </c>
      <c r="BO112" s="79">
        <v>2</v>
      </c>
      <c r="BP112" s="79">
        <v>5</v>
      </c>
      <c r="BQ112" s="79">
        <v>1</v>
      </c>
      <c r="BR112" s="79">
        <v>2</v>
      </c>
      <c r="BS112" s="79">
        <v>1</v>
      </c>
      <c r="BT112" s="79">
        <v>0</v>
      </c>
      <c r="BU112" s="79">
        <v>1</v>
      </c>
      <c r="BV112" s="79">
        <v>0</v>
      </c>
      <c r="BW112" s="79">
        <v>3</v>
      </c>
      <c r="BX112" s="83">
        <v>0</v>
      </c>
      <c r="BY112" s="79">
        <v>1</v>
      </c>
      <c r="BZ112" s="79">
        <v>0</v>
      </c>
      <c r="CA112" s="79">
        <v>1</v>
      </c>
      <c r="CB112" s="79">
        <v>9</v>
      </c>
      <c r="CC112" s="79">
        <v>2</v>
      </c>
      <c r="CD112" s="83" t="s">
        <v>2696</v>
      </c>
      <c r="CE112" s="79"/>
      <c r="CF112" s="79" t="s">
        <v>3883</v>
      </c>
      <c r="CG112" s="79" t="s">
        <v>3884</v>
      </c>
      <c r="CH112" s="79" t="s">
        <v>2699</v>
      </c>
      <c r="CI112" s="79">
        <v>1</v>
      </c>
      <c r="CJ112" s="83" t="s">
        <v>2734</v>
      </c>
      <c r="CK112" s="144">
        <v>0</v>
      </c>
      <c r="CL112"/>
    </row>
    <row r="113" spans="1:90">
      <c r="A113" s="79" t="s">
        <v>3749</v>
      </c>
      <c r="B113" s="79" t="s">
        <v>3795</v>
      </c>
      <c r="C113" s="79"/>
      <c r="D113" s="79" t="s">
        <v>717</v>
      </c>
      <c r="E113" s="79" t="s">
        <v>2629</v>
      </c>
      <c r="F113" s="79">
        <v>1410</v>
      </c>
      <c r="G113" s="79" t="s">
        <v>2265</v>
      </c>
      <c r="H113" s="79" t="s">
        <v>1201</v>
      </c>
      <c r="I113" s="79" t="s">
        <v>1202</v>
      </c>
      <c r="J113" s="79" t="s">
        <v>1203</v>
      </c>
      <c r="K113" s="79" t="s">
        <v>565</v>
      </c>
      <c r="L113" s="79" t="s">
        <v>398</v>
      </c>
      <c r="M113" s="79" t="s">
        <v>399</v>
      </c>
      <c r="N113" s="79" t="s">
        <v>2752</v>
      </c>
      <c r="O113" s="79" t="s">
        <v>106</v>
      </c>
      <c r="P113" s="79">
        <v>4</v>
      </c>
      <c r="Q113" s="79" t="s">
        <v>106</v>
      </c>
      <c r="R113" s="79" t="s">
        <v>2691</v>
      </c>
      <c r="S113" s="90">
        <v>30681</v>
      </c>
      <c r="T113" s="79" t="s">
        <v>2703</v>
      </c>
      <c r="U113" s="79" t="s">
        <v>401</v>
      </c>
      <c r="AC113" s="79" t="s">
        <v>401</v>
      </c>
      <c r="AD113" s="79">
        <v>137000</v>
      </c>
      <c r="AE113" s="79"/>
      <c r="AF113" s="79">
        <v>4000</v>
      </c>
      <c r="AG113" s="79"/>
      <c r="AH113" s="79"/>
      <c r="AI113" s="79"/>
      <c r="AJ113" s="79">
        <v>1</v>
      </c>
      <c r="AK113" s="83">
        <v>1</v>
      </c>
      <c r="AL113" s="79">
        <v>1190</v>
      </c>
      <c r="AM113" s="79" t="s">
        <v>2693</v>
      </c>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v>9</v>
      </c>
      <c r="BL113" s="79">
        <v>2</v>
      </c>
      <c r="BM113" s="79">
        <v>5</v>
      </c>
      <c r="BN113" s="79">
        <v>5</v>
      </c>
      <c r="BO113" s="79">
        <v>2</v>
      </c>
      <c r="BP113" s="79">
        <v>5</v>
      </c>
      <c r="BQ113" s="79">
        <v>1</v>
      </c>
      <c r="BR113" s="79">
        <v>2</v>
      </c>
      <c r="BS113" s="79">
        <v>1</v>
      </c>
      <c r="BT113" s="79">
        <v>0</v>
      </c>
      <c r="BU113" s="79">
        <v>1</v>
      </c>
      <c r="BV113" s="79">
        <v>0</v>
      </c>
      <c r="BW113" s="79">
        <v>5</v>
      </c>
      <c r="BX113" s="83">
        <v>0</v>
      </c>
      <c r="BY113" s="79">
        <v>1</v>
      </c>
      <c r="BZ113" s="79">
        <v>0</v>
      </c>
      <c r="CA113" s="79">
        <v>1</v>
      </c>
      <c r="CB113" s="79">
        <v>9</v>
      </c>
      <c r="CC113" s="79">
        <v>2</v>
      </c>
      <c r="CD113" s="83" t="s">
        <v>2696</v>
      </c>
      <c r="CE113" s="79"/>
      <c r="CF113" s="79" t="s">
        <v>3885</v>
      </c>
      <c r="CG113" s="79" t="s">
        <v>3886</v>
      </c>
      <c r="CH113" s="79" t="s">
        <v>2693</v>
      </c>
      <c r="CI113" s="83" t="s">
        <v>3992</v>
      </c>
      <c r="CJ113" s="83" t="s">
        <v>2701</v>
      </c>
      <c r="CK113" s="145"/>
      <c r="CL113"/>
    </row>
    <row r="114" spans="1:90">
      <c r="A114" s="79" t="s">
        <v>3749</v>
      </c>
      <c r="B114" s="79" t="s">
        <v>3795</v>
      </c>
      <c r="C114" s="79"/>
      <c r="D114" s="79" t="s">
        <v>840</v>
      </c>
      <c r="E114" s="79" t="s">
        <v>3819</v>
      </c>
      <c r="F114" s="79">
        <v>1410</v>
      </c>
      <c r="G114" s="79" t="s">
        <v>2265</v>
      </c>
      <c r="H114" s="79" t="s">
        <v>1201</v>
      </c>
      <c r="I114" s="79" t="s">
        <v>1202</v>
      </c>
      <c r="J114" s="79" t="s">
        <v>1203</v>
      </c>
      <c r="K114" s="79" t="s">
        <v>565</v>
      </c>
      <c r="L114" s="79" t="s">
        <v>398</v>
      </c>
      <c r="M114" s="79" t="s">
        <v>399</v>
      </c>
      <c r="N114" s="79" t="s">
        <v>2752</v>
      </c>
      <c r="O114" s="79" t="s">
        <v>106</v>
      </c>
      <c r="P114" s="79">
        <v>4</v>
      </c>
      <c r="Q114" s="79" t="s">
        <v>106</v>
      </c>
      <c r="R114" s="79">
        <v>8</v>
      </c>
      <c r="S114" s="90">
        <v>30681</v>
      </c>
      <c r="T114" s="79" t="s">
        <v>2703</v>
      </c>
      <c r="U114" s="79" t="s">
        <v>401</v>
      </c>
      <c r="AC114" s="79" t="s">
        <v>401</v>
      </c>
      <c r="AD114" s="79">
        <v>144000</v>
      </c>
      <c r="AE114" s="79"/>
      <c r="AF114" s="79">
        <v>12000</v>
      </c>
      <c r="AG114" s="79"/>
      <c r="AH114" s="79"/>
      <c r="AI114" s="79"/>
      <c r="AJ114" s="79">
        <v>1</v>
      </c>
      <c r="AK114" s="83">
        <v>1</v>
      </c>
      <c r="AL114" s="79">
        <v>1190</v>
      </c>
      <c r="AM114" s="79" t="s">
        <v>2693</v>
      </c>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v>9</v>
      </c>
      <c r="BL114" s="79">
        <v>2</v>
      </c>
      <c r="BM114" s="79">
        <v>5</v>
      </c>
      <c r="BN114" s="79">
        <v>5</v>
      </c>
      <c r="BO114" s="79">
        <v>2</v>
      </c>
      <c r="BP114" s="79">
        <v>5</v>
      </c>
      <c r="BQ114" s="79">
        <v>1</v>
      </c>
      <c r="BR114" s="79">
        <v>2</v>
      </c>
      <c r="BS114" s="79">
        <v>1</v>
      </c>
      <c r="BT114" s="79">
        <v>0</v>
      </c>
      <c r="BU114" s="79">
        <v>1</v>
      </c>
      <c r="BV114" s="79">
        <v>0</v>
      </c>
      <c r="BW114" s="79">
        <v>5</v>
      </c>
      <c r="BX114" s="83">
        <v>0</v>
      </c>
      <c r="BY114" s="79">
        <v>1</v>
      </c>
      <c r="BZ114" s="79">
        <v>0</v>
      </c>
      <c r="CA114" s="79">
        <v>1</v>
      </c>
      <c r="CB114" s="79">
        <v>9</v>
      </c>
      <c r="CC114" s="79">
        <v>2</v>
      </c>
      <c r="CD114" s="83" t="s">
        <v>2696</v>
      </c>
      <c r="CE114" s="79"/>
      <c r="CF114" s="79" t="s">
        <v>3887</v>
      </c>
      <c r="CG114" s="79" t="s">
        <v>3888</v>
      </c>
      <c r="CH114" s="79" t="s">
        <v>2693</v>
      </c>
      <c r="CI114" s="83" t="s">
        <v>3992</v>
      </c>
      <c r="CJ114" s="83" t="s">
        <v>2701</v>
      </c>
      <c r="CK114" s="145"/>
      <c r="CL114"/>
    </row>
    <row r="115" spans="1:90">
      <c r="A115" s="83" t="s">
        <v>952</v>
      </c>
      <c r="B115" s="83" t="s">
        <v>2942</v>
      </c>
      <c r="D115" s="83" t="s">
        <v>688</v>
      </c>
      <c r="E115" s="83" t="s">
        <v>2383</v>
      </c>
      <c r="F115" s="83" t="s">
        <v>3434</v>
      </c>
      <c r="G115" s="83" t="s">
        <v>1156</v>
      </c>
      <c r="H115" s="83" t="s">
        <v>1201</v>
      </c>
      <c r="I115" s="83" t="s">
        <v>1202</v>
      </c>
      <c r="J115" s="83" t="s">
        <v>1203</v>
      </c>
      <c r="K115" s="83" t="s">
        <v>565</v>
      </c>
      <c r="L115" s="83" t="s">
        <v>398</v>
      </c>
      <c r="M115" s="83" t="s">
        <v>399</v>
      </c>
      <c r="N115" s="83" t="s">
        <v>3057</v>
      </c>
      <c r="O115" s="83" t="s">
        <v>106</v>
      </c>
      <c r="P115" s="83">
        <v>4</v>
      </c>
      <c r="Q115" s="83" t="s">
        <v>106</v>
      </c>
      <c r="R115" s="83" t="s">
        <v>3419</v>
      </c>
      <c r="S115" s="83" t="s">
        <v>2843</v>
      </c>
      <c r="T115" s="83" t="s">
        <v>2703</v>
      </c>
      <c r="U115" s="83" t="s">
        <v>401</v>
      </c>
      <c r="AC115" s="83" t="s">
        <v>401</v>
      </c>
      <c r="AD115" s="83">
        <v>138000</v>
      </c>
      <c r="AF115" s="83">
        <v>6000</v>
      </c>
      <c r="AJ115" s="83">
        <v>1</v>
      </c>
      <c r="AK115" s="83">
        <v>1</v>
      </c>
      <c r="AL115" s="83">
        <v>1540</v>
      </c>
      <c r="AM115" s="83" t="s">
        <v>2693</v>
      </c>
      <c r="BK115" s="83" t="s">
        <v>2694</v>
      </c>
      <c r="BL115" s="83" t="s">
        <v>2693</v>
      </c>
      <c r="BM115" s="83" t="s">
        <v>2697</v>
      </c>
      <c r="BN115" s="83" t="s">
        <v>2698</v>
      </c>
      <c r="BO115" s="83" t="s">
        <v>2697</v>
      </c>
      <c r="BP115" s="83" t="s">
        <v>2695</v>
      </c>
      <c r="BQ115" s="83" t="s">
        <v>2699</v>
      </c>
      <c r="BR115" s="83" t="s">
        <v>2693</v>
      </c>
      <c r="BS115" s="83" t="s">
        <v>2699</v>
      </c>
      <c r="BT115" s="83" t="s">
        <v>2696</v>
      </c>
      <c r="BU115" s="83" t="s">
        <v>2699</v>
      </c>
      <c r="BV115" s="83" t="s">
        <v>2697</v>
      </c>
      <c r="BW115" s="83" t="s">
        <v>2698</v>
      </c>
      <c r="BX115" s="83" t="s">
        <v>2696</v>
      </c>
      <c r="BY115" s="83" t="s">
        <v>2699</v>
      </c>
      <c r="BZ115" s="83" t="s">
        <v>2699</v>
      </c>
      <c r="CA115" s="83" t="s">
        <v>2693</v>
      </c>
      <c r="CB115" s="83" t="s">
        <v>2694</v>
      </c>
      <c r="CC115" s="83" t="s">
        <v>2696</v>
      </c>
      <c r="CD115" s="83" t="s">
        <v>2696</v>
      </c>
      <c r="CF115" s="83" t="s">
        <v>953</v>
      </c>
      <c r="CG115" s="83" t="s">
        <v>954</v>
      </c>
      <c r="CH115" s="83" t="s">
        <v>2693</v>
      </c>
      <c r="CI115" s="83" t="s">
        <v>3992</v>
      </c>
      <c r="CJ115" s="83" t="s">
        <v>2701</v>
      </c>
      <c r="CK115" s="144">
        <v>7</v>
      </c>
      <c r="CL115" s="99">
        <v>899000</v>
      </c>
    </row>
    <row r="116" spans="1:90">
      <c r="A116" s="83" t="s">
        <v>952</v>
      </c>
      <c r="B116" s="83" t="s">
        <v>2942</v>
      </c>
      <c r="D116" s="83" t="s">
        <v>673</v>
      </c>
      <c r="E116" s="83" t="s">
        <v>1098</v>
      </c>
      <c r="F116" s="83" t="s">
        <v>3434</v>
      </c>
      <c r="G116" s="83" t="s">
        <v>1156</v>
      </c>
      <c r="H116" s="83" t="s">
        <v>1201</v>
      </c>
      <c r="I116" s="83" t="s">
        <v>1202</v>
      </c>
      <c r="J116" s="83" t="s">
        <v>1203</v>
      </c>
      <c r="K116" s="83" t="s">
        <v>565</v>
      </c>
      <c r="L116" s="83" t="s">
        <v>398</v>
      </c>
      <c r="M116" s="83" t="s">
        <v>399</v>
      </c>
      <c r="N116" s="83" t="s">
        <v>3057</v>
      </c>
      <c r="O116" s="83" t="s">
        <v>106</v>
      </c>
      <c r="P116" s="83">
        <v>1</v>
      </c>
      <c r="Q116" s="83" t="s">
        <v>106</v>
      </c>
      <c r="R116" s="83" t="s">
        <v>3419</v>
      </c>
      <c r="S116" s="83" t="s">
        <v>2843</v>
      </c>
      <c r="T116" s="83" t="s">
        <v>2703</v>
      </c>
      <c r="U116" s="83" t="s">
        <v>401</v>
      </c>
      <c r="AC116" s="83" t="s">
        <v>401</v>
      </c>
      <c r="AD116" s="83">
        <v>95000</v>
      </c>
      <c r="AF116" s="83">
        <v>0</v>
      </c>
      <c r="AJ116" s="83">
        <v>1</v>
      </c>
      <c r="AK116" s="83">
        <v>1</v>
      </c>
      <c r="AL116" s="83">
        <v>1624</v>
      </c>
      <c r="AM116" s="83" t="s">
        <v>2693</v>
      </c>
      <c r="BK116" s="83" t="s">
        <v>2694</v>
      </c>
      <c r="BL116" s="83" t="s">
        <v>2704</v>
      </c>
      <c r="BM116" s="83" t="s">
        <v>2698</v>
      </c>
      <c r="BN116" s="83" t="s">
        <v>2696</v>
      </c>
      <c r="BO116" s="83" t="s">
        <v>2697</v>
      </c>
      <c r="BP116" s="83" t="s">
        <v>2698</v>
      </c>
      <c r="BQ116" s="83" t="s">
        <v>2699</v>
      </c>
      <c r="BR116" s="83" t="s">
        <v>2693</v>
      </c>
      <c r="BS116" s="83" t="s">
        <v>2699</v>
      </c>
      <c r="BT116" s="83" t="s">
        <v>2696</v>
      </c>
      <c r="BU116" s="83" t="s">
        <v>2699</v>
      </c>
      <c r="BV116" s="83" t="s">
        <v>2697</v>
      </c>
      <c r="BW116" s="83" t="s">
        <v>2697</v>
      </c>
      <c r="BX116" s="83" t="s">
        <v>2696</v>
      </c>
      <c r="BY116" s="83" t="s">
        <v>2693</v>
      </c>
      <c r="BZ116" s="83" t="s">
        <v>2699</v>
      </c>
      <c r="CA116" s="83" t="s">
        <v>2693</v>
      </c>
      <c r="CB116" s="83" t="s">
        <v>2694</v>
      </c>
      <c r="CC116" s="83" t="s">
        <v>2696</v>
      </c>
      <c r="CD116" s="83" t="s">
        <v>2696</v>
      </c>
      <c r="CF116" s="83" t="s">
        <v>1099</v>
      </c>
      <c r="CG116" s="83" t="s">
        <v>1100</v>
      </c>
      <c r="CH116" s="83" t="s">
        <v>2699</v>
      </c>
      <c r="CI116" s="83" t="s">
        <v>2699</v>
      </c>
      <c r="CJ116" s="83" t="s">
        <v>2734</v>
      </c>
      <c r="CK116" s="144">
        <v>0</v>
      </c>
      <c r="CL116"/>
    </row>
    <row r="117" spans="1:90">
      <c r="A117" s="83" t="s">
        <v>952</v>
      </c>
      <c r="B117" s="83" t="s">
        <v>2942</v>
      </c>
      <c r="D117" s="83" t="s">
        <v>714</v>
      </c>
      <c r="E117" s="83" t="s">
        <v>957</v>
      </c>
      <c r="F117" s="83" t="s">
        <v>3434</v>
      </c>
      <c r="G117" s="83" t="s">
        <v>1156</v>
      </c>
      <c r="H117" s="83" t="s">
        <v>1201</v>
      </c>
      <c r="I117" s="83" t="s">
        <v>1202</v>
      </c>
      <c r="J117" s="83" t="s">
        <v>1203</v>
      </c>
      <c r="K117" s="83" t="s">
        <v>565</v>
      </c>
      <c r="L117" s="83" t="s">
        <v>398</v>
      </c>
      <c r="M117" s="83" t="s">
        <v>399</v>
      </c>
      <c r="N117" s="83" t="s">
        <v>3057</v>
      </c>
      <c r="O117" s="83" t="s">
        <v>106</v>
      </c>
      <c r="P117" s="83">
        <v>4</v>
      </c>
      <c r="Q117" s="83" t="s">
        <v>106</v>
      </c>
      <c r="R117" s="83" t="s">
        <v>3435</v>
      </c>
      <c r="S117" s="83" t="s">
        <v>2843</v>
      </c>
      <c r="T117" s="83" t="s">
        <v>2703</v>
      </c>
      <c r="U117" s="83" t="s">
        <v>401</v>
      </c>
      <c r="AC117" s="83" t="s">
        <v>401</v>
      </c>
      <c r="AD117" s="83">
        <v>104000</v>
      </c>
      <c r="AF117" s="83">
        <v>5000</v>
      </c>
      <c r="AJ117" s="83">
        <v>1</v>
      </c>
      <c r="AK117" s="83">
        <v>1</v>
      </c>
      <c r="AL117" s="83">
        <v>1116</v>
      </c>
      <c r="AM117" s="83" t="s">
        <v>2693</v>
      </c>
      <c r="BK117" s="83" t="s">
        <v>2694</v>
      </c>
      <c r="BL117" s="83" t="s">
        <v>2693</v>
      </c>
      <c r="BM117" s="83" t="s">
        <v>2697</v>
      </c>
      <c r="BN117" s="83" t="s">
        <v>2698</v>
      </c>
      <c r="BO117" s="83" t="s">
        <v>2697</v>
      </c>
      <c r="BP117" s="83" t="s">
        <v>2695</v>
      </c>
      <c r="BQ117" s="83" t="s">
        <v>2699</v>
      </c>
      <c r="BR117" s="83" t="s">
        <v>2693</v>
      </c>
      <c r="BS117" s="83" t="s">
        <v>2699</v>
      </c>
      <c r="BT117" s="83" t="s">
        <v>2696</v>
      </c>
      <c r="BU117" s="83" t="s">
        <v>2699</v>
      </c>
      <c r="BV117" s="83" t="s">
        <v>2697</v>
      </c>
      <c r="BW117" s="83" t="s">
        <v>2698</v>
      </c>
      <c r="BX117" s="83" t="s">
        <v>2696</v>
      </c>
      <c r="BY117" s="83" t="s">
        <v>2699</v>
      </c>
      <c r="BZ117" s="83" t="s">
        <v>2699</v>
      </c>
      <c r="CA117" s="83" t="s">
        <v>2693</v>
      </c>
      <c r="CB117" s="83" t="s">
        <v>2694</v>
      </c>
      <c r="CC117" s="83" t="s">
        <v>2696</v>
      </c>
      <c r="CD117" s="83" t="s">
        <v>2696</v>
      </c>
      <c r="CF117" s="83" t="s">
        <v>958</v>
      </c>
      <c r="CG117" s="83" t="s">
        <v>959</v>
      </c>
      <c r="CH117" s="83" t="s">
        <v>2693</v>
      </c>
      <c r="CI117" s="83" t="s">
        <v>3992</v>
      </c>
      <c r="CJ117" s="83" t="s">
        <v>2701</v>
      </c>
      <c r="CK117" s="144">
        <v>0</v>
      </c>
      <c r="CL117"/>
    </row>
    <row r="118" spans="1:90">
      <c r="A118" s="83" t="s">
        <v>1538</v>
      </c>
      <c r="B118" s="83" t="s">
        <v>1618</v>
      </c>
      <c r="D118" s="83" t="s">
        <v>688</v>
      </c>
      <c r="E118" s="83" t="s">
        <v>1673</v>
      </c>
      <c r="F118" s="83" t="s">
        <v>1710</v>
      </c>
      <c r="G118" s="83" t="s">
        <v>1834</v>
      </c>
      <c r="H118" s="83" t="s">
        <v>1201</v>
      </c>
      <c r="I118" s="83" t="s">
        <v>1202</v>
      </c>
      <c r="J118" s="83" t="s">
        <v>1203</v>
      </c>
      <c r="K118" s="83" t="s">
        <v>565</v>
      </c>
      <c r="L118" s="83" t="s">
        <v>398</v>
      </c>
      <c r="M118" s="83" t="s">
        <v>399</v>
      </c>
      <c r="N118" s="83" t="s">
        <v>2709</v>
      </c>
      <c r="O118" s="83" t="s">
        <v>106</v>
      </c>
      <c r="P118" s="83">
        <v>4</v>
      </c>
      <c r="Q118" s="83" t="s">
        <v>106</v>
      </c>
      <c r="R118" s="83" t="s">
        <v>2691</v>
      </c>
      <c r="S118" s="83" t="s">
        <v>2712</v>
      </c>
      <c r="T118" s="83" t="s">
        <v>2703</v>
      </c>
      <c r="U118" s="83" t="s">
        <v>401</v>
      </c>
      <c r="AC118" s="83" t="s">
        <v>401</v>
      </c>
      <c r="AD118" s="83">
        <v>124000</v>
      </c>
      <c r="AF118" s="83">
        <v>0</v>
      </c>
      <c r="AJ118" s="83">
        <v>1</v>
      </c>
      <c r="AK118" s="83">
        <v>1</v>
      </c>
      <c r="AL118" s="83">
        <v>1564</v>
      </c>
      <c r="AM118" s="83" t="s">
        <v>2693</v>
      </c>
      <c r="BK118" s="83" t="s">
        <v>2694</v>
      </c>
      <c r="BL118" s="83" t="s">
        <v>2704</v>
      </c>
      <c r="BM118" s="83" t="s">
        <v>2698</v>
      </c>
      <c r="BN118" s="83" t="s">
        <v>2699</v>
      </c>
      <c r="BO118" s="83" t="s">
        <v>2697</v>
      </c>
      <c r="BP118" s="83" t="s">
        <v>2698</v>
      </c>
      <c r="BQ118" s="83" t="s">
        <v>2699</v>
      </c>
      <c r="BR118" s="83" t="s">
        <v>2693</v>
      </c>
      <c r="BS118" s="83" t="s">
        <v>2699</v>
      </c>
      <c r="BT118" s="83" t="s">
        <v>2696</v>
      </c>
      <c r="BU118" s="83" t="s">
        <v>2699</v>
      </c>
      <c r="BV118" s="83" t="s">
        <v>2696</v>
      </c>
      <c r="BW118" s="83" t="s">
        <v>2695</v>
      </c>
      <c r="BX118" s="83" t="s">
        <v>2696</v>
      </c>
      <c r="BY118" s="83" t="s">
        <v>2699</v>
      </c>
      <c r="BZ118" s="83" t="s">
        <v>2693</v>
      </c>
      <c r="CA118" s="83" t="s">
        <v>2693</v>
      </c>
      <c r="CB118" s="83">
        <v>9</v>
      </c>
      <c r="CC118" s="83" t="s">
        <v>2696</v>
      </c>
      <c r="CD118" s="83" t="s">
        <v>2696</v>
      </c>
      <c r="CF118" s="83" t="s">
        <v>1971</v>
      </c>
      <c r="CG118" s="83" t="s">
        <v>1972</v>
      </c>
      <c r="CH118" s="83" t="s">
        <v>2693</v>
      </c>
      <c r="CI118" s="83" t="s">
        <v>1395</v>
      </c>
      <c r="CJ118" s="83" t="s">
        <v>2701</v>
      </c>
      <c r="CK118" s="144">
        <v>0</v>
      </c>
      <c r="CL118" s="99">
        <v>270000</v>
      </c>
    </row>
    <row r="119" spans="1:90">
      <c r="A119" s="83" t="s">
        <v>1538</v>
      </c>
      <c r="B119" s="83" t="s">
        <v>1618</v>
      </c>
      <c r="D119" s="83" t="s">
        <v>673</v>
      </c>
      <c r="E119" s="83" t="s">
        <v>894</v>
      </c>
      <c r="F119" s="83" t="s">
        <v>1710</v>
      </c>
      <c r="G119" s="83" t="s">
        <v>1834</v>
      </c>
      <c r="H119" s="83" t="s">
        <v>1201</v>
      </c>
      <c r="I119" s="83" t="s">
        <v>1202</v>
      </c>
      <c r="J119" s="83" t="s">
        <v>1203</v>
      </c>
      <c r="K119" s="83" t="s">
        <v>565</v>
      </c>
      <c r="L119" s="83" t="s">
        <v>398</v>
      </c>
      <c r="M119" s="83" t="s">
        <v>399</v>
      </c>
      <c r="N119" s="83" t="s">
        <v>2709</v>
      </c>
      <c r="O119" s="83" t="s">
        <v>106</v>
      </c>
      <c r="P119" s="83">
        <v>4</v>
      </c>
      <c r="Q119" s="83" t="s">
        <v>106</v>
      </c>
      <c r="R119" s="83" t="s">
        <v>2691</v>
      </c>
      <c r="S119" s="83" t="s">
        <v>1468</v>
      </c>
      <c r="T119" s="83" t="s">
        <v>2703</v>
      </c>
      <c r="U119" s="83" t="s">
        <v>401</v>
      </c>
      <c r="AC119" s="83" t="s">
        <v>401</v>
      </c>
      <c r="AD119" s="83">
        <v>94000</v>
      </c>
      <c r="AF119" s="83">
        <v>2000</v>
      </c>
      <c r="AJ119" s="83">
        <v>1</v>
      </c>
      <c r="AK119" s="83">
        <v>1</v>
      </c>
      <c r="AL119" s="83">
        <v>648</v>
      </c>
      <c r="AM119" s="83" t="s">
        <v>2693</v>
      </c>
      <c r="BK119" s="83" t="s">
        <v>2694</v>
      </c>
      <c r="BL119" s="83" t="s">
        <v>2693</v>
      </c>
      <c r="BM119" s="83" t="s">
        <v>2698</v>
      </c>
      <c r="BN119" s="83" t="s">
        <v>2699</v>
      </c>
      <c r="BO119" s="83" t="s">
        <v>2693</v>
      </c>
      <c r="BP119" s="83" t="s">
        <v>2698</v>
      </c>
      <c r="BQ119" s="83" t="s">
        <v>2699</v>
      </c>
      <c r="BR119" s="83" t="s">
        <v>2693</v>
      </c>
      <c r="BS119" s="83" t="s">
        <v>2699</v>
      </c>
      <c r="BT119" s="83" t="s">
        <v>2696</v>
      </c>
      <c r="BU119" s="83" t="s">
        <v>2699</v>
      </c>
      <c r="BV119" s="83" t="s">
        <v>2696</v>
      </c>
      <c r="BW119" s="83" t="s">
        <v>2695</v>
      </c>
      <c r="BX119" s="83" t="s">
        <v>2696</v>
      </c>
      <c r="BY119" s="83" t="s">
        <v>2699</v>
      </c>
      <c r="BZ119" s="83" t="s">
        <v>2693</v>
      </c>
      <c r="CA119" s="83" t="s">
        <v>2693</v>
      </c>
      <c r="CB119" s="83">
        <v>9</v>
      </c>
      <c r="CC119" s="83" t="s">
        <v>2699</v>
      </c>
      <c r="CD119" s="83" t="s">
        <v>2696</v>
      </c>
      <c r="CF119" s="83" t="s">
        <v>1973</v>
      </c>
      <c r="CG119" s="83" t="s">
        <v>1974</v>
      </c>
      <c r="CH119" s="83" t="s">
        <v>2693</v>
      </c>
      <c r="CI119" s="83" t="s">
        <v>1395</v>
      </c>
      <c r="CJ119" s="83" t="s">
        <v>2701</v>
      </c>
      <c r="CK119" s="144">
        <v>0</v>
      </c>
      <c r="CL119"/>
    </row>
    <row r="120" spans="1:90">
      <c r="A120" s="83" t="s">
        <v>1514</v>
      </c>
      <c r="B120" s="83" t="s">
        <v>2713</v>
      </c>
      <c r="D120" s="83" t="s">
        <v>688</v>
      </c>
      <c r="E120" s="83" t="s">
        <v>1673</v>
      </c>
      <c r="F120" s="83" t="s">
        <v>1711</v>
      </c>
      <c r="G120" s="83" t="s">
        <v>1835</v>
      </c>
      <c r="H120" s="83" t="s">
        <v>1201</v>
      </c>
      <c r="I120" s="83" t="s">
        <v>1202</v>
      </c>
      <c r="J120" s="83" t="s">
        <v>1203</v>
      </c>
      <c r="K120" s="83" t="s">
        <v>565</v>
      </c>
      <c r="L120" s="83" t="s">
        <v>398</v>
      </c>
      <c r="M120" s="83" t="s">
        <v>399</v>
      </c>
      <c r="N120" s="83" t="s">
        <v>2709</v>
      </c>
      <c r="O120" s="83" t="s">
        <v>106</v>
      </c>
      <c r="P120" s="83">
        <v>4</v>
      </c>
      <c r="Q120" s="83" t="s">
        <v>106</v>
      </c>
      <c r="R120" s="83" t="s">
        <v>2691</v>
      </c>
      <c r="S120" s="83" t="s">
        <v>2714</v>
      </c>
      <c r="T120" s="83" t="s">
        <v>2714</v>
      </c>
      <c r="U120" s="83" t="s">
        <v>401</v>
      </c>
      <c r="AC120" s="83" t="s">
        <v>401</v>
      </c>
      <c r="AD120" s="83">
        <v>283000</v>
      </c>
      <c r="AF120" s="83">
        <v>0</v>
      </c>
      <c r="AJ120" s="83">
        <v>1</v>
      </c>
      <c r="AK120" s="83">
        <v>1</v>
      </c>
      <c r="AL120" s="83">
        <v>3180</v>
      </c>
      <c r="AM120" s="83" t="s">
        <v>2693</v>
      </c>
      <c r="BK120" s="83" t="s">
        <v>2694</v>
      </c>
      <c r="BL120" s="83" t="s">
        <v>2704</v>
      </c>
      <c r="BM120" s="83" t="s">
        <v>2697</v>
      </c>
      <c r="BN120" s="83" t="s">
        <v>2699</v>
      </c>
      <c r="BO120" s="83" t="s">
        <v>2693</v>
      </c>
      <c r="BP120" s="83" t="s">
        <v>2698</v>
      </c>
      <c r="BQ120" s="83" t="s">
        <v>2699</v>
      </c>
      <c r="BR120" s="83" t="s">
        <v>2693</v>
      </c>
      <c r="BS120" s="83" t="s">
        <v>2699</v>
      </c>
      <c r="BT120" s="83" t="s">
        <v>2696</v>
      </c>
      <c r="BU120" s="83" t="s">
        <v>2699</v>
      </c>
      <c r="BV120" s="83" t="s">
        <v>2696</v>
      </c>
      <c r="BW120" s="83" t="s">
        <v>2699</v>
      </c>
      <c r="BX120" s="83" t="s">
        <v>2696</v>
      </c>
      <c r="BY120" s="83" t="s">
        <v>2699</v>
      </c>
      <c r="BZ120" s="83" t="s">
        <v>2693</v>
      </c>
      <c r="CA120" s="83" t="s">
        <v>2693</v>
      </c>
      <c r="CB120" s="83">
        <v>9</v>
      </c>
      <c r="CC120" s="83" t="s">
        <v>2696</v>
      </c>
      <c r="CD120" s="83" t="s">
        <v>2696</v>
      </c>
      <c r="CF120" s="83" t="s">
        <v>1975</v>
      </c>
      <c r="CG120" s="83" t="s">
        <v>1976</v>
      </c>
      <c r="CH120" s="83" t="s">
        <v>2693</v>
      </c>
      <c r="CI120" s="83" t="s">
        <v>1395</v>
      </c>
      <c r="CJ120" s="83" t="s">
        <v>2701</v>
      </c>
      <c r="CK120" s="144">
        <v>0</v>
      </c>
      <c r="CL120" s="99">
        <v>215000</v>
      </c>
    </row>
    <row r="121" spans="1:90">
      <c r="A121" s="83" t="s">
        <v>2656</v>
      </c>
      <c r="B121" s="83" t="s">
        <v>2657</v>
      </c>
      <c r="D121" s="83" t="s">
        <v>688</v>
      </c>
      <c r="E121" s="83" t="s">
        <v>2550</v>
      </c>
      <c r="F121" s="83" t="s">
        <v>3214</v>
      </c>
      <c r="G121" s="83" t="s">
        <v>2313</v>
      </c>
      <c r="H121" s="83" t="s">
        <v>1201</v>
      </c>
      <c r="I121" s="83" t="s">
        <v>1202</v>
      </c>
      <c r="J121" s="83" t="s">
        <v>1203</v>
      </c>
      <c r="K121" s="83" t="s">
        <v>565</v>
      </c>
      <c r="L121" s="83" t="s">
        <v>398</v>
      </c>
      <c r="M121" s="83" t="s">
        <v>399</v>
      </c>
      <c r="N121" s="83" t="s">
        <v>2833</v>
      </c>
      <c r="O121" s="83" t="s">
        <v>106</v>
      </c>
      <c r="P121" s="83">
        <v>4</v>
      </c>
      <c r="Q121" s="83" t="s">
        <v>106</v>
      </c>
      <c r="R121" s="83" t="s">
        <v>2727</v>
      </c>
      <c r="S121" s="83" t="s">
        <v>2712</v>
      </c>
      <c r="T121" s="83" t="s">
        <v>2843</v>
      </c>
      <c r="U121" s="83" t="s">
        <v>401</v>
      </c>
      <c r="AC121" s="83" t="s">
        <v>401</v>
      </c>
      <c r="AD121" s="83">
        <v>250000</v>
      </c>
      <c r="AF121" s="83">
        <v>27000</v>
      </c>
      <c r="AJ121" s="83">
        <v>1</v>
      </c>
      <c r="AK121" s="83">
        <v>1</v>
      </c>
      <c r="AL121" s="83">
        <v>2700</v>
      </c>
      <c r="AM121" s="83" t="s">
        <v>2693</v>
      </c>
      <c r="BK121" s="83" t="s">
        <v>2694</v>
      </c>
      <c r="BL121" s="83">
        <v>7</v>
      </c>
      <c r="BM121" s="83">
        <v>5</v>
      </c>
      <c r="BN121" s="83" t="s">
        <v>2698</v>
      </c>
      <c r="BO121" s="83" t="s">
        <v>2697</v>
      </c>
      <c r="BP121" s="83" t="s">
        <v>2699</v>
      </c>
      <c r="BQ121" s="83" t="s">
        <v>2699</v>
      </c>
      <c r="BS121" s="83" t="s">
        <v>2699</v>
      </c>
      <c r="BT121" s="83" t="s">
        <v>2696</v>
      </c>
      <c r="BU121" s="83" t="s">
        <v>2699</v>
      </c>
      <c r="BV121" s="83" t="s">
        <v>2696</v>
      </c>
      <c r="BW121" s="83" t="s">
        <v>2698</v>
      </c>
      <c r="BX121" s="83" t="s">
        <v>2696</v>
      </c>
      <c r="BY121" s="83" t="s">
        <v>2699</v>
      </c>
      <c r="BZ121" s="83" t="s">
        <v>2693</v>
      </c>
      <c r="CA121" s="83" t="s">
        <v>2693</v>
      </c>
      <c r="CB121" s="83" t="s">
        <v>2694</v>
      </c>
      <c r="CC121" s="83" t="s">
        <v>2699</v>
      </c>
      <c r="CD121" s="83" t="s">
        <v>2696</v>
      </c>
      <c r="CF121" s="83" t="s">
        <v>3215</v>
      </c>
      <c r="CG121" s="83" t="s">
        <v>3216</v>
      </c>
      <c r="CH121" s="83" t="s">
        <v>2693</v>
      </c>
      <c r="CI121" s="83" t="s">
        <v>3992</v>
      </c>
      <c r="CJ121" s="83" t="s">
        <v>2701</v>
      </c>
      <c r="CK121" s="144">
        <v>3</v>
      </c>
      <c r="CL121" s="99">
        <v>126000</v>
      </c>
    </row>
    <row r="122" spans="1:90">
      <c r="A122" s="79" t="s">
        <v>2656</v>
      </c>
      <c r="B122" s="79" t="s">
        <v>2657</v>
      </c>
      <c r="C122" s="79"/>
      <c r="D122" s="79" t="s">
        <v>673</v>
      </c>
      <c r="E122" s="79" t="s">
        <v>3820</v>
      </c>
      <c r="F122" s="79">
        <v>9429</v>
      </c>
      <c r="G122" s="79" t="s">
        <v>1859</v>
      </c>
      <c r="H122" s="79" t="s">
        <v>1201</v>
      </c>
      <c r="I122" s="79" t="s">
        <v>1202</v>
      </c>
      <c r="J122" s="79" t="s">
        <v>1203</v>
      </c>
      <c r="K122" s="79" t="s">
        <v>565</v>
      </c>
      <c r="L122" s="79" t="s">
        <v>398</v>
      </c>
      <c r="M122" s="79" t="s">
        <v>399</v>
      </c>
      <c r="N122" s="79" t="s">
        <v>2833</v>
      </c>
      <c r="O122" s="79" t="s">
        <v>106</v>
      </c>
      <c r="P122" s="79">
        <v>4</v>
      </c>
      <c r="Q122" s="79" t="s">
        <v>106</v>
      </c>
      <c r="R122" s="79">
        <v>10</v>
      </c>
      <c r="S122" s="90">
        <v>29586</v>
      </c>
      <c r="T122" s="79" t="s">
        <v>2703</v>
      </c>
      <c r="U122" s="79" t="s">
        <v>401</v>
      </c>
      <c r="AC122" s="79" t="s">
        <v>401</v>
      </c>
      <c r="AD122" s="79">
        <v>214000</v>
      </c>
      <c r="AE122" s="79"/>
      <c r="AF122" s="79">
        <v>0</v>
      </c>
      <c r="AG122" s="79"/>
      <c r="AH122" s="79"/>
      <c r="AI122" s="79"/>
      <c r="AJ122" s="79">
        <v>1</v>
      </c>
      <c r="AK122" s="83">
        <v>1</v>
      </c>
      <c r="AL122" s="79">
        <v>1960</v>
      </c>
      <c r="AM122" s="79" t="s">
        <v>2693</v>
      </c>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79"/>
      <c r="BJ122" s="79"/>
      <c r="BK122" s="79">
        <v>9</v>
      </c>
      <c r="BL122" s="79">
        <v>3</v>
      </c>
      <c r="BM122" s="79">
        <v>2</v>
      </c>
      <c r="BN122" s="79">
        <v>5</v>
      </c>
      <c r="BO122" s="79">
        <v>2</v>
      </c>
      <c r="BP122" s="79">
        <v>5</v>
      </c>
      <c r="BQ122" s="79">
        <v>1</v>
      </c>
      <c r="BR122" s="79">
        <v>2</v>
      </c>
      <c r="BS122" s="79">
        <v>1</v>
      </c>
      <c r="BT122" s="79">
        <v>0</v>
      </c>
      <c r="BU122" s="79">
        <v>1</v>
      </c>
      <c r="BV122" s="79">
        <v>0</v>
      </c>
      <c r="BW122" s="79">
        <v>5</v>
      </c>
      <c r="BX122" s="83">
        <v>0</v>
      </c>
      <c r="BY122" s="79">
        <v>1</v>
      </c>
      <c r="BZ122" s="79">
        <v>0</v>
      </c>
      <c r="CA122" s="79">
        <v>1</v>
      </c>
      <c r="CB122" s="79">
        <v>9</v>
      </c>
      <c r="CC122" s="79">
        <v>2</v>
      </c>
      <c r="CD122" s="83" t="s">
        <v>2696</v>
      </c>
      <c r="CE122" s="79"/>
      <c r="CF122" s="79" t="s">
        <v>3889</v>
      </c>
      <c r="CG122" s="79" t="s">
        <v>3890</v>
      </c>
      <c r="CH122" s="79" t="s">
        <v>2693</v>
      </c>
      <c r="CI122" s="83" t="s">
        <v>3992</v>
      </c>
      <c r="CJ122" s="83" t="s">
        <v>2701</v>
      </c>
      <c r="CK122" s="145"/>
      <c r="CL122"/>
    </row>
    <row r="123" spans="1:90">
      <c r="A123" s="83" t="s">
        <v>1539</v>
      </c>
      <c r="B123" s="83" t="s">
        <v>2715</v>
      </c>
      <c r="D123" s="83" t="s">
        <v>688</v>
      </c>
      <c r="E123" s="83" t="s">
        <v>1012</v>
      </c>
      <c r="F123" s="83" t="s">
        <v>1701</v>
      </c>
      <c r="G123" s="83" t="s">
        <v>1836</v>
      </c>
      <c r="H123" s="83" t="s">
        <v>1201</v>
      </c>
      <c r="I123" s="83" t="s">
        <v>1202</v>
      </c>
      <c r="J123" s="83" t="s">
        <v>1203</v>
      </c>
      <c r="K123" s="83" t="s">
        <v>565</v>
      </c>
      <c r="L123" s="83" t="s">
        <v>398</v>
      </c>
      <c r="M123" s="83" t="s">
        <v>399</v>
      </c>
      <c r="N123" s="83" t="s">
        <v>2709</v>
      </c>
      <c r="O123" s="83" t="s">
        <v>106</v>
      </c>
      <c r="P123" s="83">
        <v>4</v>
      </c>
      <c r="Q123" s="83" t="s">
        <v>106</v>
      </c>
      <c r="R123" s="83" t="s">
        <v>2691</v>
      </c>
      <c r="S123" s="83" t="s">
        <v>2716</v>
      </c>
      <c r="T123" s="83" t="s">
        <v>2703</v>
      </c>
      <c r="U123" s="83" t="s">
        <v>401</v>
      </c>
      <c r="AC123" s="83" t="s">
        <v>401</v>
      </c>
      <c r="AD123" s="83">
        <v>145000</v>
      </c>
      <c r="AF123" s="83">
        <v>0</v>
      </c>
      <c r="AJ123" s="83">
        <v>1</v>
      </c>
      <c r="AK123" s="83">
        <v>1</v>
      </c>
      <c r="AL123" s="83">
        <v>1500</v>
      </c>
      <c r="AM123" s="83" t="s">
        <v>2693</v>
      </c>
      <c r="BK123" s="83" t="s">
        <v>2694</v>
      </c>
      <c r="BL123" s="83" t="s">
        <v>2704</v>
      </c>
      <c r="BM123" s="83" t="s">
        <v>2698</v>
      </c>
      <c r="BN123" s="83" t="s">
        <v>2699</v>
      </c>
      <c r="BO123" s="83" t="s">
        <v>2693</v>
      </c>
      <c r="BP123" s="83" t="s">
        <v>2698</v>
      </c>
      <c r="BQ123" s="83" t="s">
        <v>2699</v>
      </c>
      <c r="BR123" s="83" t="s">
        <v>2693</v>
      </c>
      <c r="BS123" s="83" t="s">
        <v>2699</v>
      </c>
      <c r="BT123" s="83" t="s">
        <v>2696</v>
      </c>
      <c r="BU123" s="83" t="s">
        <v>2699</v>
      </c>
      <c r="BV123" s="83" t="s">
        <v>2696</v>
      </c>
      <c r="BW123" s="83" t="s">
        <v>2699</v>
      </c>
      <c r="BX123" s="83" t="s">
        <v>2696</v>
      </c>
      <c r="BY123" s="83" t="s">
        <v>2699</v>
      </c>
      <c r="BZ123" s="83" t="s">
        <v>2693</v>
      </c>
      <c r="CA123" s="83" t="s">
        <v>2693</v>
      </c>
      <c r="CB123" s="83">
        <v>9</v>
      </c>
      <c r="CC123" s="83" t="s">
        <v>2696</v>
      </c>
      <c r="CD123" s="83" t="s">
        <v>2696</v>
      </c>
      <c r="CF123" s="83" t="s">
        <v>1977</v>
      </c>
      <c r="CG123" s="83" t="s">
        <v>1978</v>
      </c>
      <c r="CH123" s="83" t="s">
        <v>2693</v>
      </c>
      <c r="CI123" s="83" t="s">
        <v>1395</v>
      </c>
      <c r="CJ123" s="83" t="s">
        <v>2701</v>
      </c>
      <c r="CK123" s="144">
        <v>0</v>
      </c>
      <c r="CL123" s="99">
        <v>11000</v>
      </c>
    </row>
    <row r="124" spans="1:90">
      <c r="A124" s="83" t="s">
        <v>1540</v>
      </c>
      <c r="B124" s="83" t="s">
        <v>1619</v>
      </c>
      <c r="D124" s="83" t="s">
        <v>688</v>
      </c>
      <c r="E124" s="83" t="s">
        <v>1012</v>
      </c>
      <c r="F124" s="83" t="s">
        <v>1712</v>
      </c>
      <c r="G124" s="83" t="s">
        <v>1815</v>
      </c>
      <c r="H124" s="83" t="s">
        <v>1201</v>
      </c>
      <c r="I124" s="83" t="s">
        <v>1202</v>
      </c>
      <c r="J124" s="83" t="s">
        <v>1203</v>
      </c>
      <c r="K124" s="83" t="s">
        <v>565</v>
      </c>
      <c r="L124" s="83" t="s">
        <v>398</v>
      </c>
      <c r="M124" s="83" t="s">
        <v>399</v>
      </c>
      <c r="N124" s="83" t="s">
        <v>2709</v>
      </c>
      <c r="O124" s="83" t="s">
        <v>106</v>
      </c>
      <c r="P124" s="83">
        <v>4</v>
      </c>
      <c r="Q124" s="83" t="s">
        <v>106</v>
      </c>
      <c r="R124" s="83" t="s">
        <v>2691</v>
      </c>
      <c r="S124" s="83" t="s">
        <v>1451</v>
      </c>
      <c r="T124" s="83" t="s">
        <v>1444</v>
      </c>
      <c r="U124" s="83" t="s">
        <v>401</v>
      </c>
      <c r="AC124" s="83" t="s">
        <v>401</v>
      </c>
      <c r="AD124" s="83">
        <v>232000</v>
      </c>
      <c r="AF124" s="83">
        <v>0</v>
      </c>
      <c r="AJ124" s="83">
        <v>1</v>
      </c>
      <c r="AK124" s="83">
        <v>1</v>
      </c>
      <c r="AL124" s="83">
        <v>2880</v>
      </c>
      <c r="AM124" s="83" t="s">
        <v>2693</v>
      </c>
      <c r="BK124" s="83" t="s">
        <v>2694</v>
      </c>
      <c r="BL124" s="83" t="s">
        <v>2704</v>
      </c>
      <c r="BM124" s="83" t="s">
        <v>2698</v>
      </c>
      <c r="BN124" s="83" t="s">
        <v>2699</v>
      </c>
      <c r="BO124" s="83" t="s">
        <v>2697</v>
      </c>
      <c r="BP124" s="83" t="s">
        <v>2698</v>
      </c>
      <c r="BQ124" s="83" t="s">
        <v>2699</v>
      </c>
      <c r="BR124" s="83" t="s">
        <v>2693</v>
      </c>
      <c r="BS124" s="83" t="s">
        <v>2699</v>
      </c>
      <c r="BT124" s="83" t="s">
        <v>2696</v>
      </c>
      <c r="BU124" s="83" t="s">
        <v>2699</v>
      </c>
      <c r="BV124" s="83" t="s">
        <v>2696</v>
      </c>
      <c r="BW124" s="83" t="s">
        <v>2699</v>
      </c>
      <c r="BX124" s="83" t="s">
        <v>2696</v>
      </c>
      <c r="BY124" s="83" t="s">
        <v>2699</v>
      </c>
      <c r="BZ124" s="83" t="s">
        <v>2693</v>
      </c>
      <c r="CA124" s="83" t="s">
        <v>2693</v>
      </c>
      <c r="CB124" s="83">
        <v>9</v>
      </c>
      <c r="CC124" s="83" t="s">
        <v>2696</v>
      </c>
      <c r="CD124" s="83" t="s">
        <v>2696</v>
      </c>
      <c r="CF124" s="83" t="s">
        <v>2717</v>
      </c>
      <c r="CG124" s="83" t="s">
        <v>1979</v>
      </c>
      <c r="CH124" s="83" t="s">
        <v>2693</v>
      </c>
      <c r="CI124" s="83" t="s">
        <v>1395</v>
      </c>
      <c r="CJ124" s="83" t="s">
        <v>2701</v>
      </c>
      <c r="CK124" s="144">
        <v>0</v>
      </c>
      <c r="CL124"/>
    </row>
    <row r="125" spans="1:90">
      <c r="A125" s="83" t="s">
        <v>1541</v>
      </c>
      <c r="B125" s="83" t="s">
        <v>1620</v>
      </c>
      <c r="D125" s="83" t="s">
        <v>688</v>
      </c>
      <c r="E125" s="83" t="s">
        <v>1012</v>
      </c>
      <c r="F125" s="83" t="s">
        <v>1713</v>
      </c>
      <c r="G125" s="83" t="s">
        <v>1837</v>
      </c>
      <c r="H125" s="83" t="s">
        <v>1201</v>
      </c>
      <c r="I125" s="83" t="s">
        <v>1202</v>
      </c>
      <c r="J125" s="83" t="s">
        <v>1203</v>
      </c>
      <c r="K125" s="83" t="s">
        <v>565</v>
      </c>
      <c r="L125" s="83" t="s">
        <v>398</v>
      </c>
      <c r="M125" s="83" t="s">
        <v>399</v>
      </c>
      <c r="N125" s="83" t="s">
        <v>2690</v>
      </c>
      <c r="O125" s="83" t="s">
        <v>106</v>
      </c>
      <c r="P125" s="83">
        <v>4</v>
      </c>
      <c r="Q125" s="83" t="s">
        <v>106</v>
      </c>
      <c r="R125" s="83" t="s">
        <v>2691</v>
      </c>
      <c r="S125" s="83" t="s">
        <v>2692</v>
      </c>
      <c r="T125" s="83" t="s">
        <v>2692</v>
      </c>
      <c r="U125" s="83" t="s">
        <v>401</v>
      </c>
      <c r="AC125" s="83" t="s">
        <v>401</v>
      </c>
      <c r="AD125" s="83">
        <v>552000</v>
      </c>
      <c r="AF125" s="83">
        <v>65000</v>
      </c>
      <c r="AJ125" s="83">
        <v>1</v>
      </c>
      <c r="AK125" s="83">
        <v>1</v>
      </c>
      <c r="AL125" s="83">
        <v>6560</v>
      </c>
      <c r="AM125" s="83" t="s">
        <v>2693</v>
      </c>
      <c r="BK125" s="83" t="s">
        <v>2694</v>
      </c>
      <c r="BL125" s="83" t="s">
        <v>2695</v>
      </c>
      <c r="BM125" s="83" t="s">
        <v>2693</v>
      </c>
      <c r="BN125" s="83" t="s">
        <v>2696</v>
      </c>
      <c r="BO125" s="83" t="s">
        <v>2697</v>
      </c>
      <c r="BP125" s="83" t="s">
        <v>2698</v>
      </c>
      <c r="BQ125" s="83" t="s">
        <v>2696</v>
      </c>
      <c r="BR125" s="83" t="s">
        <v>2693</v>
      </c>
      <c r="BS125" s="83" t="s">
        <v>2699</v>
      </c>
      <c r="BT125" s="83" t="s">
        <v>2696</v>
      </c>
      <c r="BU125" s="83" t="s">
        <v>2699</v>
      </c>
      <c r="BV125" s="83" t="s">
        <v>2696</v>
      </c>
      <c r="BW125" s="83" t="s">
        <v>2695</v>
      </c>
      <c r="BX125" s="83" t="s">
        <v>2696</v>
      </c>
      <c r="BY125" s="83" t="s">
        <v>2699</v>
      </c>
      <c r="BZ125" s="83" t="s">
        <v>2693</v>
      </c>
      <c r="CA125" s="83" t="s">
        <v>2693</v>
      </c>
      <c r="CB125" s="83">
        <v>3</v>
      </c>
      <c r="CC125" s="83" t="s">
        <v>2699</v>
      </c>
      <c r="CD125" s="83" t="s">
        <v>2696</v>
      </c>
      <c r="CF125" s="83" t="s">
        <v>2700</v>
      </c>
      <c r="CG125" s="83" t="s">
        <v>1980</v>
      </c>
      <c r="CH125" s="83" t="s">
        <v>2693</v>
      </c>
      <c r="CI125" s="83" t="s">
        <v>1395</v>
      </c>
      <c r="CJ125" s="83" t="s">
        <v>2701</v>
      </c>
      <c r="CK125" s="144">
        <v>0</v>
      </c>
      <c r="CL125" s="99">
        <v>132000</v>
      </c>
    </row>
    <row r="126" spans="1:90">
      <c r="A126" s="79" t="s">
        <v>1541</v>
      </c>
      <c r="B126" s="79" t="s">
        <v>1620</v>
      </c>
      <c r="C126" s="79"/>
      <c r="D126" s="79" t="s">
        <v>673</v>
      </c>
      <c r="E126" s="79" t="s">
        <v>2423</v>
      </c>
      <c r="F126" s="79">
        <v>2839</v>
      </c>
      <c r="G126" s="79" t="s">
        <v>1837</v>
      </c>
      <c r="H126" s="79" t="s">
        <v>1201</v>
      </c>
      <c r="I126" s="79" t="s">
        <v>1202</v>
      </c>
      <c r="J126" s="79" t="s">
        <v>1203</v>
      </c>
      <c r="K126" s="79" t="s">
        <v>565</v>
      </c>
      <c r="L126" s="79" t="s">
        <v>398</v>
      </c>
      <c r="M126" s="79" t="s">
        <v>399</v>
      </c>
      <c r="N126" s="79" t="s">
        <v>2690</v>
      </c>
      <c r="O126" s="79" t="s">
        <v>106</v>
      </c>
      <c r="P126" s="79">
        <v>4</v>
      </c>
      <c r="Q126" s="79" t="s">
        <v>106</v>
      </c>
      <c r="R126" s="79">
        <v>39</v>
      </c>
      <c r="S126" s="90">
        <v>25933</v>
      </c>
      <c r="T126" s="79" t="s">
        <v>2703</v>
      </c>
      <c r="U126" s="79" t="s">
        <v>401</v>
      </c>
      <c r="AC126" s="79" t="s">
        <v>401</v>
      </c>
      <c r="AD126" s="79">
        <v>35000</v>
      </c>
      <c r="AE126" s="79"/>
      <c r="AF126" s="79">
        <v>0</v>
      </c>
      <c r="AG126" s="79"/>
      <c r="AH126" s="79"/>
      <c r="AI126" s="79"/>
      <c r="AJ126" s="79">
        <v>1</v>
      </c>
      <c r="AK126" s="83">
        <v>1</v>
      </c>
      <c r="AL126" s="79">
        <v>780</v>
      </c>
      <c r="AM126" s="79" t="s">
        <v>2693</v>
      </c>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79"/>
      <c r="BJ126" s="79"/>
      <c r="BK126" s="79">
        <v>9</v>
      </c>
      <c r="BL126" s="79">
        <v>7</v>
      </c>
      <c r="BM126" s="79">
        <v>5</v>
      </c>
      <c r="BN126" s="79">
        <v>5</v>
      </c>
      <c r="BO126" s="79">
        <v>2</v>
      </c>
      <c r="BP126" s="79">
        <v>5</v>
      </c>
      <c r="BQ126" s="79">
        <v>1</v>
      </c>
      <c r="BR126" s="79">
        <v>2</v>
      </c>
      <c r="BS126" s="79">
        <v>1</v>
      </c>
      <c r="BT126" s="79">
        <v>0</v>
      </c>
      <c r="BU126" s="79">
        <v>1</v>
      </c>
      <c r="BV126" s="79">
        <v>0</v>
      </c>
      <c r="BW126" s="79">
        <v>5</v>
      </c>
      <c r="BX126" s="83">
        <v>0</v>
      </c>
      <c r="BY126" s="79">
        <v>1</v>
      </c>
      <c r="BZ126" s="79">
        <v>0</v>
      </c>
      <c r="CA126" s="79">
        <v>1</v>
      </c>
      <c r="CB126" s="79">
        <v>9</v>
      </c>
      <c r="CC126" s="79">
        <v>2</v>
      </c>
      <c r="CD126" s="83" t="s">
        <v>2696</v>
      </c>
      <c r="CE126" s="79"/>
      <c r="CF126" s="79" t="s">
        <v>2072</v>
      </c>
      <c r="CG126" s="79" t="s">
        <v>2073</v>
      </c>
      <c r="CH126" s="79" t="s">
        <v>2693</v>
      </c>
      <c r="CI126" s="83" t="s">
        <v>3992</v>
      </c>
      <c r="CJ126" s="83" t="s">
        <v>2701</v>
      </c>
      <c r="CK126" s="145"/>
      <c r="CL126"/>
    </row>
    <row r="127" spans="1:90">
      <c r="A127" s="83" t="s">
        <v>1506</v>
      </c>
      <c r="B127" s="83" t="s">
        <v>1621</v>
      </c>
      <c r="D127" s="83" t="s">
        <v>688</v>
      </c>
      <c r="E127" s="83" t="s">
        <v>1621</v>
      </c>
      <c r="F127" s="83" t="s">
        <v>1714</v>
      </c>
      <c r="G127" s="83" t="s">
        <v>1838</v>
      </c>
      <c r="H127" s="83" t="s">
        <v>1201</v>
      </c>
      <c r="I127" s="83" t="s">
        <v>1202</v>
      </c>
      <c r="J127" s="83" t="s">
        <v>1203</v>
      </c>
      <c r="K127" s="83" t="s">
        <v>565</v>
      </c>
      <c r="L127" s="83" t="s">
        <v>398</v>
      </c>
      <c r="M127" s="83" t="s">
        <v>399</v>
      </c>
      <c r="N127" s="83" t="s">
        <v>2690</v>
      </c>
      <c r="O127" s="83" t="s">
        <v>106</v>
      </c>
      <c r="P127" s="83">
        <v>4</v>
      </c>
      <c r="Q127" s="83" t="s">
        <v>106</v>
      </c>
      <c r="R127" s="83" t="s">
        <v>2691</v>
      </c>
      <c r="S127" s="83" t="s">
        <v>2702</v>
      </c>
      <c r="T127" s="83" t="s">
        <v>2703</v>
      </c>
      <c r="U127" s="83" t="s">
        <v>401</v>
      </c>
      <c r="AC127" s="83" t="s">
        <v>401</v>
      </c>
      <c r="AD127" s="83">
        <v>246000</v>
      </c>
      <c r="AF127" s="83">
        <v>0</v>
      </c>
      <c r="AJ127" s="83">
        <v>1</v>
      </c>
      <c r="AK127" s="83">
        <v>1</v>
      </c>
      <c r="AL127" s="83">
        <v>2156</v>
      </c>
      <c r="AM127" s="83" t="s">
        <v>2693</v>
      </c>
      <c r="BK127" s="83" t="s">
        <v>2694</v>
      </c>
      <c r="BL127" s="83" t="s">
        <v>2704</v>
      </c>
      <c r="BM127" s="83" t="s">
        <v>2698</v>
      </c>
      <c r="BN127" s="83" t="s">
        <v>2699</v>
      </c>
      <c r="BO127" s="83" t="s">
        <v>2697</v>
      </c>
      <c r="BP127" s="83" t="s">
        <v>2698</v>
      </c>
      <c r="BQ127" s="83" t="s">
        <v>2699</v>
      </c>
      <c r="BR127" s="83" t="s">
        <v>2693</v>
      </c>
      <c r="BS127" s="83" t="s">
        <v>2699</v>
      </c>
      <c r="BT127" s="83" t="s">
        <v>2696</v>
      </c>
      <c r="BU127" s="83" t="s">
        <v>2699</v>
      </c>
      <c r="BV127" s="83" t="s">
        <v>2696</v>
      </c>
      <c r="BW127" s="83" t="s">
        <v>2695</v>
      </c>
      <c r="BX127" s="83" t="s">
        <v>2696</v>
      </c>
      <c r="BY127" s="83" t="s">
        <v>2699</v>
      </c>
      <c r="BZ127" s="83" t="s">
        <v>2693</v>
      </c>
      <c r="CA127" s="83" t="s">
        <v>2693</v>
      </c>
      <c r="CB127" s="83">
        <v>3</v>
      </c>
      <c r="CC127" s="83" t="s">
        <v>2699</v>
      </c>
      <c r="CD127" s="83" t="s">
        <v>2696</v>
      </c>
      <c r="CF127" s="83" t="s">
        <v>1981</v>
      </c>
      <c r="CG127" s="83" t="s">
        <v>1982</v>
      </c>
      <c r="CH127" s="83" t="s">
        <v>2693</v>
      </c>
      <c r="CI127" s="83" t="s">
        <v>1395</v>
      </c>
      <c r="CJ127" s="83" t="s">
        <v>2701</v>
      </c>
      <c r="CK127" s="144">
        <v>0</v>
      </c>
      <c r="CL127" s="99">
        <v>2000</v>
      </c>
    </row>
    <row r="128" spans="1:90">
      <c r="A128" s="83" t="s">
        <v>1483</v>
      </c>
      <c r="B128" s="83" t="s">
        <v>1622</v>
      </c>
      <c r="D128" s="83" t="s">
        <v>688</v>
      </c>
      <c r="E128" s="83" t="s">
        <v>1622</v>
      </c>
      <c r="F128" s="83" t="s">
        <v>1715</v>
      </c>
      <c r="G128" s="83" t="s">
        <v>1839</v>
      </c>
      <c r="H128" s="83" t="s">
        <v>1201</v>
      </c>
      <c r="I128" s="83" t="s">
        <v>1202</v>
      </c>
      <c r="J128" s="83" t="s">
        <v>1203</v>
      </c>
      <c r="K128" s="83" t="s">
        <v>565</v>
      </c>
      <c r="L128" s="83" t="s">
        <v>398</v>
      </c>
      <c r="M128" s="83" t="s">
        <v>399</v>
      </c>
      <c r="N128" s="83" t="s">
        <v>2705</v>
      </c>
      <c r="O128" s="83" t="s">
        <v>106</v>
      </c>
      <c r="P128" s="83">
        <v>4</v>
      </c>
      <c r="Q128" s="83" t="s">
        <v>106</v>
      </c>
      <c r="R128" s="83" t="s">
        <v>2691</v>
      </c>
      <c r="S128" s="83" t="s">
        <v>2706</v>
      </c>
      <c r="T128" s="83" t="s">
        <v>2703</v>
      </c>
      <c r="U128" s="83" t="s">
        <v>401</v>
      </c>
      <c r="AC128" s="83" t="s">
        <v>401</v>
      </c>
      <c r="AD128" s="83">
        <v>116000</v>
      </c>
      <c r="AF128" s="83">
        <v>13000</v>
      </c>
      <c r="AJ128" s="83">
        <v>1</v>
      </c>
      <c r="AK128" s="83">
        <v>1</v>
      </c>
      <c r="AL128" s="83">
        <v>1320</v>
      </c>
      <c r="AM128" s="83" t="s">
        <v>2693</v>
      </c>
      <c r="BK128" s="83" t="s">
        <v>2694</v>
      </c>
      <c r="BL128" s="83" t="s">
        <v>2704</v>
      </c>
      <c r="BM128" s="83" t="s">
        <v>2698</v>
      </c>
      <c r="BN128" s="83" t="s">
        <v>2699</v>
      </c>
      <c r="BO128" s="83" t="s">
        <v>2697</v>
      </c>
      <c r="BP128" s="83" t="s">
        <v>2698</v>
      </c>
      <c r="BQ128" s="83" t="s">
        <v>2693</v>
      </c>
      <c r="BR128" s="83" t="s">
        <v>2693</v>
      </c>
      <c r="BS128" s="83" t="s">
        <v>2699</v>
      </c>
      <c r="BT128" s="83" t="s">
        <v>2696</v>
      </c>
      <c r="BU128" s="83" t="s">
        <v>2699</v>
      </c>
      <c r="BV128" s="83" t="s">
        <v>2696</v>
      </c>
      <c r="BW128" s="83" t="s">
        <v>2695</v>
      </c>
      <c r="BX128" s="83" t="s">
        <v>2696</v>
      </c>
      <c r="BY128" s="83" t="s">
        <v>2696</v>
      </c>
      <c r="BZ128" s="83" t="s">
        <v>2693</v>
      </c>
      <c r="CA128" s="83" t="s">
        <v>2693</v>
      </c>
      <c r="CB128" s="83">
        <v>3</v>
      </c>
      <c r="CC128" s="83" t="s">
        <v>2696</v>
      </c>
      <c r="CD128" s="83" t="s">
        <v>2696</v>
      </c>
      <c r="CF128" s="83" t="s">
        <v>1985</v>
      </c>
      <c r="CG128" s="83" t="s">
        <v>2707</v>
      </c>
      <c r="CH128" s="83" t="s">
        <v>2693</v>
      </c>
      <c r="CI128" s="83" t="s">
        <v>1395</v>
      </c>
      <c r="CJ128" s="83" t="s">
        <v>2701</v>
      </c>
      <c r="CK128" s="144">
        <v>0</v>
      </c>
      <c r="CL128"/>
    </row>
    <row r="129" spans="1:90">
      <c r="A129" s="83" t="s">
        <v>2643</v>
      </c>
      <c r="B129" s="83" t="s">
        <v>2642</v>
      </c>
      <c r="D129" s="83" t="s">
        <v>688</v>
      </c>
      <c r="E129" s="83" t="s">
        <v>2550</v>
      </c>
      <c r="F129" s="83" t="s">
        <v>3251</v>
      </c>
      <c r="G129" s="83" t="s">
        <v>2321</v>
      </c>
      <c r="H129" s="83" t="s">
        <v>1201</v>
      </c>
      <c r="I129" s="83" t="s">
        <v>1202</v>
      </c>
      <c r="J129" s="83" t="s">
        <v>1203</v>
      </c>
      <c r="K129" s="83" t="s">
        <v>565</v>
      </c>
      <c r="L129" s="83" t="s">
        <v>398</v>
      </c>
      <c r="M129" s="83" t="s">
        <v>399</v>
      </c>
      <c r="N129" s="83" t="s">
        <v>3248</v>
      </c>
      <c r="O129" s="83" t="s">
        <v>106</v>
      </c>
      <c r="P129" s="83">
        <v>4</v>
      </c>
      <c r="Q129" s="83" t="s">
        <v>106</v>
      </c>
      <c r="R129" s="83" t="s">
        <v>2727</v>
      </c>
      <c r="S129" s="83" t="s">
        <v>2928</v>
      </c>
      <c r="T129" s="83" t="s">
        <v>2843</v>
      </c>
      <c r="U129" s="83" t="s">
        <v>401</v>
      </c>
      <c r="AC129" s="83" t="s">
        <v>401</v>
      </c>
      <c r="AD129" s="83">
        <v>387000</v>
      </c>
      <c r="AF129" s="83">
        <v>39000</v>
      </c>
      <c r="AJ129" s="83">
        <v>1</v>
      </c>
      <c r="AK129" s="83">
        <v>1</v>
      </c>
      <c r="AL129" s="83">
        <v>3918</v>
      </c>
      <c r="AM129" s="83" t="s">
        <v>2693</v>
      </c>
      <c r="BK129" s="83" t="s">
        <v>2694</v>
      </c>
      <c r="BL129" s="83" t="s">
        <v>2704</v>
      </c>
      <c r="BM129" s="83" t="s">
        <v>2698</v>
      </c>
      <c r="BN129" s="83" t="s">
        <v>2698</v>
      </c>
      <c r="BO129" s="83" t="s">
        <v>2697</v>
      </c>
      <c r="BP129" s="83" t="s">
        <v>2698</v>
      </c>
      <c r="BQ129" s="83" t="s">
        <v>2699</v>
      </c>
      <c r="BR129" s="83" t="s">
        <v>2693</v>
      </c>
      <c r="BS129" s="83" t="s">
        <v>2699</v>
      </c>
      <c r="BT129" s="83" t="s">
        <v>2696</v>
      </c>
      <c r="BU129" s="83" t="s">
        <v>2699</v>
      </c>
      <c r="BV129" s="83" t="s">
        <v>2696</v>
      </c>
      <c r="BW129" s="83" t="s">
        <v>2698</v>
      </c>
      <c r="BX129" s="83" t="s">
        <v>2696</v>
      </c>
      <c r="BY129" s="83" t="s">
        <v>2699</v>
      </c>
      <c r="BZ129" s="83" t="s">
        <v>2693</v>
      </c>
      <c r="CA129" s="83" t="s">
        <v>2693</v>
      </c>
      <c r="CB129" s="83" t="s">
        <v>2694</v>
      </c>
      <c r="CC129" s="83" t="s">
        <v>2699</v>
      </c>
      <c r="CD129" s="83" t="s">
        <v>2696</v>
      </c>
      <c r="CF129" s="83" t="s">
        <v>3262</v>
      </c>
      <c r="CG129" s="83" t="s">
        <v>3263</v>
      </c>
      <c r="CH129" s="83" t="s">
        <v>2693</v>
      </c>
      <c r="CI129" s="83" t="s">
        <v>3992</v>
      </c>
      <c r="CJ129" s="83" t="s">
        <v>2701</v>
      </c>
      <c r="CK129" s="144">
        <v>0</v>
      </c>
      <c r="CL129" s="99">
        <v>64000</v>
      </c>
    </row>
    <row r="130" spans="1:90">
      <c r="A130" s="83" t="s">
        <v>2676</v>
      </c>
      <c r="B130" s="83" t="s">
        <v>3706</v>
      </c>
      <c r="D130" s="83" t="s">
        <v>688</v>
      </c>
      <c r="E130" s="83" t="s">
        <v>3706</v>
      </c>
      <c r="F130" s="83" t="s">
        <v>3707</v>
      </c>
      <c r="G130" s="83" t="s">
        <v>2460</v>
      </c>
      <c r="H130" s="83" t="s">
        <v>1201</v>
      </c>
      <c r="I130" s="83" t="s">
        <v>1202</v>
      </c>
      <c r="J130" s="83" t="s">
        <v>1203</v>
      </c>
      <c r="K130" s="83" t="s">
        <v>565</v>
      </c>
      <c r="L130" s="83" t="s">
        <v>398</v>
      </c>
      <c r="M130" s="83" t="s">
        <v>399</v>
      </c>
      <c r="N130" s="83" t="s">
        <v>3699</v>
      </c>
      <c r="O130" s="83" t="s">
        <v>106</v>
      </c>
      <c r="P130" s="83">
        <v>1</v>
      </c>
      <c r="Q130" s="83" t="s">
        <v>106</v>
      </c>
      <c r="R130" s="83" t="s">
        <v>2691</v>
      </c>
      <c r="S130" s="83" t="s">
        <v>2714</v>
      </c>
      <c r="T130" s="83" t="s">
        <v>2703</v>
      </c>
      <c r="U130" s="83" t="s">
        <v>401</v>
      </c>
      <c r="AC130" s="83" t="s">
        <v>401</v>
      </c>
      <c r="AD130" s="83">
        <v>118000</v>
      </c>
      <c r="AF130" s="83">
        <v>15000</v>
      </c>
      <c r="AJ130" s="83">
        <v>1</v>
      </c>
      <c r="AK130" s="83">
        <v>1</v>
      </c>
      <c r="AL130" s="83">
        <v>1960</v>
      </c>
      <c r="AM130" s="83" t="s">
        <v>2693</v>
      </c>
      <c r="BK130" s="83" t="s">
        <v>2694</v>
      </c>
      <c r="BL130" s="83" t="s">
        <v>2693</v>
      </c>
      <c r="BM130" s="83" t="s">
        <v>2725</v>
      </c>
      <c r="BN130" s="83" t="s">
        <v>2696</v>
      </c>
      <c r="BO130" s="83" t="s">
        <v>2697</v>
      </c>
      <c r="BP130" s="83" t="s">
        <v>2698</v>
      </c>
      <c r="BQ130" s="83" t="s">
        <v>2699</v>
      </c>
      <c r="BR130" s="83" t="s">
        <v>2693</v>
      </c>
      <c r="BS130" s="83" t="s">
        <v>2699</v>
      </c>
      <c r="BT130" s="83" t="s">
        <v>2696</v>
      </c>
      <c r="BU130" s="83">
        <v>1</v>
      </c>
      <c r="BV130" s="83" t="s">
        <v>2696</v>
      </c>
      <c r="BW130" s="83" t="s">
        <v>2693</v>
      </c>
      <c r="BX130" s="83" t="s">
        <v>2696</v>
      </c>
      <c r="BY130" s="83" t="s">
        <v>2699</v>
      </c>
      <c r="BZ130" s="83" t="s">
        <v>2699</v>
      </c>
      <c r="CA130" s="83" t="s">
        <v>2699</v>
      </c>
      <c r="CB130" s="83">
        <v>9</v>
      </c>
      <c r="CC130" s="83" t="s">
        <v>2693</v>
      </c>
      <c r="CD130" s="83" t="s">
        <v>2696</v>
      </c>
      <c r="CF130" s="83" t="s">
        <v>2471</v>
      </c>
      <c r="CG130" s="83" t="s">
        <v>2472</v>
      </c>
      <c r="CH130" s="83" t="s">
        <v>2699</v>
      </c>
      <c r="CI130" s="83" t="s">
        <v>2699</v>
      </c>
      <c r="CJ130" s="83" t="s">
        <v>2734</v>
      </c>
      <c r="CK130" s="144">
        <v>0</v>
      </c>
      <c r="CL130" s="99">
        <v>244000</v>
      </c>
    </row>
    <row r="131" spans="1:90">
      <c r="A131" s="83" t="s">
        <v>2676</v>
      </c>
      <c r="B131" s="83" t="s">
        <v>3706</v>
      </c>
      <c r="D131" s="83" t="s">
        <v>673</v>
      </c>
      <c r="E131" s="83" t="s">
        <v>822</v>
      </c>
      <c r="F131" s="83" t="s">
        <v>3707</v>
      </c>
      <c r="G131" s="83" t="s">
        <v>2460</v>
      </c>
      <c r="H131" s="83" t="s">
        <v>1201</v>
      </c>
      <c r="I131" s="83" t="s">
        <v>1202</v>
      </c>
      <c r="J131" s="83" t="s">
        <v>1203</v>
      </c>
      <c r="K131" s="83" t="s">
        <v>565</v>
      </c>
      <c r="L131" s="83" t="s">
        <v>398</v>
      </c>
      <c r="M131" s="83" t="s">
        <v>399</v>
      </c>
      <c r="N131" s="83" t="s">
        <v>3699</v>
      </c>
      <c r="O131" s="83" t="s">
        <v>106</v>
      </c>
      <c r="P131" s="83">
        <v>4</v>
      </c>
      <c r="Q131" s="83" t="s">
        <v>106</v>
      </c>
      <c r="R131" s="83" t="s">
        <v>2727</v>
      </c>
      <c r="S131" s="83" t="s">
        <v>1468</v>
      </c>
      <c r="T131" s="83" t="s">
        <v>2703</v>
      </c>
      <c r="U131" s="83" t="s">
        <v>401</v>
      </c>
      <c r="AC131" s="83" t="s">
        <v>401</v>
      </c>
      <c r="AD131" s="83">
        <v>39000</v>
      </c>
      <c r="AF131" s="83">
        <v>1000</v>
      </c>
      <c r="AJ131" s="83">
        <v>1</v>
      </c>
      <c r="AK131" s="83">
        <v>1</v>
      </c>
      <c r="AL131" s="83">
        <v>324</v>
      </c>
      <c r="AM131" s="83" t="s">
        <v>2693</v>
      </c>
      <c r="BK131" s="83" t="s">
        <v>2694</v>
      </c>
      <c r="BL131" s="83" t="s">
        <v>2693</v>
      </c>
      <c r="BM131" s="83" t="s">
        <v>2697</v>
      </c>
      <c r="BN131" s="83" t="s">
        <v>2696</v>
      </c>
      <c r="BO131" s="83" t="s">
        <v>2693</v>
      </c>
      <c r="BP131" s="83" t="s">
        <v>2698</v>
      </c>
      <c r="BQ131" s="83">
        <v>1</v>
      </c>
      <c r="BR131" s="83" t="s">
        <v>2693</v>
      </c>
      <c r="BS131" s="83" t="s">
        <v>2699</v>
      </c>
      <c r="BT131" s="83" t="s">
        <v>2696</v>
      </c>
      <c r="BU131" s="83">
        <v>1</v>
      </c>
      <c r="BV131" s="83" t="s">
        <v>2696</v>
      </c>
      <c r="BW131" s="83" t="s">
        <v>2698</v>
      </c>
      <c r="BX131" s="83" t="s">
        <v>2696</v>
      </c>
      <c r="BY131" s="83" t="s">
        <v>2699</v>
      </c>
      <c r="BZ131" s="83" t="s">
        <v>2699</v>
      </c>
      <c r="CA131" s="83" t="s">
        <v>2699</v>
      </c>
      <c r="CB131" s="83">
        <v>0</v>
      </c>
      <c r="CC131" s="83" t="s">
        <v>2699</v>
      </c>
      <c r="CD131" s="83" t="s">
        <v>2696</v>
      </c>
      <c r="CF131" s="83" t="s">
        <v>2471</v>
      </c>
      <c r="CG131" s="83" t="s">
        <v>2472</v>
      </c>
      <c r="CH131" s="83" t="s">
        <v>2693</v>
      </c>
      <c r="CI131" s="83" t="s">
        <v>2076</v>
      </c>
      <c r="CJ131" s="83" t="s">
        <v>2701</v>
      </c>
      <c r="CL131"/>
    </row>
    <row r="132" spans="1:90">
      <c r="A132" s="83" t="s">
        <v>2496</v>
      </c>
      <c r="B132" s="83" t="s">
        <v>2497</v>
      </c>
      <c r="D132" s="83" t="s">
        <v>688</v>
      </c>
      <c r="E132" s="83" t="s">
        <v>2497</v>
      </c>
      <c r="F132" s="83" t="s">
        <v>1711</v>
      </c>
      <c r="G132" s="83" t="s">
        <v>2268</v>
      </c>
      <c r="H132" s="83" t="s">
        <v>1201</v>
      </c>
      <c r="I132" s="83" t="s">
        <v>1202</v>
      </c>
      <c r="J132" s="83" t="s">
        <v>1203</v>
      </c>
      <c r="K132" s="83" t="s">
        <v>565</v>
      </c>
      <c r="L132" s="83" t="s">
        <v>398</v>
      </c>
      <c r="M132" s="83" t="s">
        <v>399</v>
      </c>
      <c r="N132" s="83" t="s">
        <v>2690</v>
      </c>
      <c r="O132" s="83" t="s">
        <v>106</v>
      </c>
      <c r="P132" s="83">
        <v>4</v>
      </c>
      <c r="Q132" s="83" t="s">
        <v>106</v>
      </c>
      <c r="R132" s="83" t="s">
        <v>2727</v>
      </c>
      <c r="S132" s="83" t="s">
        <v>2886</v>
      </c>
      <c r="T132" s="83" t="s">
        <v>2843</v>
      </c>
      <c r="U132" s="83" t="s">
        <v>401</v>
      </c>
      <c r="AC132" s="83" t="s">
        <v>401</v>
      </c>
      <c r="AD132" s="83">
        <v>272000</v>
      </c>
      <c r="AF132" s="83">
        <v>65000</v>
      </c>
      <c r="AJ132" s="83">
        <v>1</v>
      </c>
      <c r="AK132" s="83">
        <v>1</v>
      </c>
      <c r="AL132" s="83">
        <v>2500</v>
      </c>
      <c r="AM132" s="83" t="s">
        <v>2693</v>
      </c>
      <c r="BK132" s="83" t="s">
        <v>2694</v>
      </c>
      <c r="BL132" s="83" t="s">
        <v>2704</v>
      </c>
      <c r="BM132" s="83" t="s">
        <v>2698</v>
      </c>
      <c r="BN132" s="83" t="s">
        <v>2698</v>
      </c>
      <c r="BO132" s="83" t="s">
        <v>2697</v>
      </c>
      <c r="BP132" s="83" t="s">
        <v>2698</v>
      </c>
      <c r="BQ132" s="83" t="s">
        <v>2699</v>
      </c>
      <c r="BR132" s="83" t="s">
        <v>2693</v>
      </c>
      <c r="BS132" s="83" t="s">
        <v>2699</v>
      </c>
      <c r="BT132" s="83" t="s">
        <v>2696</v>
      </c>
      <c r="BU132" s="83" t="s">
        <v>2699</v>
      </c>
      <c r="BV132" s="83" t="s">
        <v>2696</v>
      </c>
      <c r="BW132" s="83" t="s">
        <v>2698</v>
      </c>
      <c r="BX132" s="83" t="s">
        <v>2696</v>
      </c>
      <c r="BY132" s="83" t="s">
        <v>2699</v>
      </c>
      <c r="BZ132" s="83" t="s">
        <v>2693</v>
      </c>
      <c r="CA132" s="83" t="s">
        <v>2693</v>
      </c>
      <c r="CB132" s="83" t="s">
        <v>2694</v>
      </c>
      <c r="CC132" s="83" t="s">
        <v>2699</v>
      </c>
      <c r="CD132" s="83" t="s">
        <v>2696</v>
      </c>
      <c r="CF132" s="83" t="s">
        <v>2896</v>
      </c>
      <c r="CG132" s="83" t="s">
        <v>2897</v>
      </c>
      <c r="CH132" s="83" t="s">
        <v>2693</v>
      </c>
      <c r="CI132" s="83" t="s">
        <v>3992</v>
      </c>
      <c r="CJ132" s="83" t="s">
        <v>2701</v>
      </c>
      <c r="CK132" s="144">
        <v>0</v>
      </c>
      <c r="CL132" s="99">
        <v>1169000</v>
      </c>
    </row>
    <row r="133" spans="1:90">
      <c r="A133" s="83" t="s">
        <v>1542</v>
      </c>
      <c r="B133" s="83" t="s">
        <v>2708</v>
      </c>
      <c r="D133" s="83" t="s">
        <v>688</v>
      </c>
      <c r="E133" s="83" t="s">
        <v>1012</v>
      </c>
      <c r="F133" s="83" t="s">
        <v>1716</v>
      </c>
      <c r="G133" s="83" t="s">
        <v>1840</v>
      </c>
      <c r="H133" s="83" t="s">
        <v>1201</v>
      </c>
      <c r="I133" s="83" t="s">
        <v>1202</v>
      </c>
      <c r="J133" s="83" t="s">
        <v>1203</v>
      </c>
      <c r="K133" s="83" t="s">
        <v>565</v>
      </c>
      <c r="L133" s="83" t="s">
        <v>398</v>
      </c>
      <c r="M133" s="83" t="s">
        <v>399</v>
      </c>
      <c r="N133" s="83" t="s">
        <v>2709</v>
      </c>
      <c r="O133" s="83" t="s">
        <v>106</v>
      </c>
      <c r="P133" s="83">
        <v>4</v>
      </c>
      <c r="Q133" s="83" t="s">
        <v>106</v>
      </c>
      <c r="R133" s="83" t="s">
        <v>2691</v>
      </c>
      <c r="S133" s="83" t="s">
        <v>1447</v>
      </c>
      <c r="T133" s="83" t="s">
        <v>2703</v>
      </c>
      <c r="U133" s="83" t="s">
        <v>401</v>
      </c>
      <c r="AC133" s="83" t="s">
        <v>401</v>
      </c>
      <c r="AD133" s="83">
        <v>197000</v>
      </c>
      <c r="AF133" s="83">
        <v>0</v>
      </c>
      <c r="AJ133" s="83">
        <v>1</v>
      </c>
      <c r="AK133" s="83">
        <v>1</v>
      </c>
      <c r="AL133" s="83">
        <v>2500</v>
      </c>
      <c r="AM133" s="83" t="s">
        <v>2693</v>
      </c>
      <c r="BK133" s="83" t="s">
        <v>2694</v>
      </c>
      <c r="BL133" s="83" t="s">
        <v>2704</v>
      </c>
      <c r="BM133" s="83" t="s">
        <v>2698</v>
      </c>
      <c r="BN133" s="83" t="s">
        <v>2699</v>
      </c>
      <c r="BO133" s="83" t="s">
        <v>2697</v>
      </c>
      <c r="BP133" s="83" t="s">
        <v>2698</v>
      </c>
      <c r="BQ133" s="83" t="s">
        <v>2693</v>
      </c>
      <c r="BR133" s="83" t="s">
        <v>2693</v>
      </c>
      <c r="BS133" s="83" t="s">
        <v>2699</v>
      </c>
      <c r="BT133" s="83" t="s">
        <v>2696</v>
      </c>
      <c r="BU133" s="83" t="s">
        <v>2699</v>
      </c>
      <c r="BV133" s="83" t="s">
        <v>2696</v>
      </c>
      <c r="BW133" s="83" t="s">
        <v>2695</v>
      </c>
      <c r="BX133" s="83" t="s">
        <v>2696</v>
      </c>
      <c r="BY133" s="83" t="s">
        <v>2696</v>
      </c>
      <c r="BZ133" s="83" t="s">
        <v>2693</v>
      </c>
      <c r="CA133" s="83" t="s">
        <v>2693</v>
      </c>
      <c r="CB133" s="83">
        <v>9</v>
      </c>
      <c r="CC133" s="83" t="s">
        <v>2696</v>
      </c>
      <c r="CD133" s="83" t="s">
        <v>2696</v>
      </c>
      <c r="CF133" s="83" t="s">
        <v>1983</v>
      </c>
      <c r="CG133" s="83" t="s">
        <v>1984</v>
      </c>
      <c r="CH133" s="83" t="s">
        <v>2693</v>
      </c>
      <c r="CI133" s="83" t="s">
        <v>1395</v>
      </c>
      <c r="CJ133" s="83" t="s">
        <v>2701</v>
      </c>
      <c r="CK133" s="144">
        <v>0</v>
      </c>
      <c r="CL133"/>
    </row>
    <row r="134" spans="1:90">
      <c r="A134" s="83" t="s">
        <v>1494</v>
      </c>
      <c r="B134" s="83" t="s">
        <v>1623</v>
      </c>
      <c r="D134" s="83" t="s">
        <v>688</v>
      </c>
      <c r="E134" s="83" t="s">
        <v>2710</v>
      </c>
      <c r="F134" s="83" t="s">
        <v>1717</v>
      </c>
      <c r="G134" s="83" t="s">
        <v>1841</v>
      </c>
      <c r="H134" s="83" t="s">
        <v>1201</v>
      </c>
      <c r="I134" s="83" t="s">
        <v>1202</v>
      </c>
      <c r="J134" s="83" t="s">
        <v>1203</v>
      </c>
      <c r="K134" s="83" t="s">
        <v>565</v>
      </c>
      <c r="L134" s="83" t="s">
        <v>398</v>
      </c>
      <c r="M134" s="83" t="s">
        <v>399</v>
      </c>
      <c r="N134" s="83" t="s">
        <v>2711</v>
      </c>
      <c r="O134" s="83" t="s">
        <v>106</v>
      </c>
      <c r="P134" s="83">
        <v>4</v>
      </c>
      <c r="Q134" s="83" t="s">
        <v>106</v>
      </c>
      <c r="R134" s="83" t="s">
        <v>2691</v>
      </c>
      <c r="S134" s="83" t="s">
        <v>1446</v>
      </c>
      <c r="T134" s="83" t="s">
        <v>2703</v>
      </c>
      <c r="U134" s="83" t="s">
        <v>401</v>
      </c>
      <c r="AC134" s="83" t="s">
        <v>401</v>
      </c>
      <c r="AD134" s="83">
        <v>172000</v>
      </c>
      <c r="AF134" s="83">
        <v>0</v>
      </c>
      <c r="AJ134" s="83">
        <v>1</v>
      </c>
      <c r="AK134" s="83">
        <v>2</v>
      </c>
      <c r="AL134" s="83">
        <v>2389</v>
      </c>
      <c r="AM134" s="83" t="s">
        <v>2693</v>
      </c>
      <c r="BK134" s="83" t="s">
        <v>2694</v>
      </c>
      <c r="BL134" s="83" t="s">
        <v>2704</v>
      </c>
      <c r="BM134" s="83" t="s">
        <v>2698</v>
      </c>
      <c r="BN134" s="83" t="s">
        <v>2699</v>
      </c>
      <c r="BO134" s="83" t="s">
        <v>2697</v>
      </c>
      <c r="BP134" s="83" t="s">
        <v>2698</v>
      </c>
      <c r="BQ134" s="83" t="s">
        <v>2693</v>
      </c>
      <c r="BR134" s="83" t="s">
        <v>2693</v>
      </c>
      <c r="BS134" s="83" t="s">
        <v>2699</v>
      </c>
      <c r="BT134" s="83" t="s">
        <v>2696</v>
      </c>
      <c r="BU134" s="83" t="s">
        <v>2699</v>
      </c>
      <c r="BV134" s="83" t="s">
        <v>2696</v>
      </c>
      <c r="BW134" s="83" t="s">
        <v>2695</v>
      </c>
      <c r="BX134" s="83" t="s">
        <v>2696</v>
      </c>
      <c r="BY134" s="83" t="s">
        <v>2696</v>
      </c>
      <c r="BZ134" s="83" t="s">
        <v>2693</v>
      </c>
      <c r="CA134" s="83" t="s">
        <v>2693</v>
      </c>
      <c r="CB134" s="83">
        <v>9</v>
      </c>
      <c r="CC134" s="83" t="s">
        <v>2696</v>
      </c>
      <c r="CD134" s="83" t="s">
        <v>2696</v>
      </c>
      <c r="CF134" s="83" t="s">
        <v>1986</v>
      </c>
      <c r="CG134" s="83" t="s">
        <v>1987</v>
      </c>
      <c r="CH134" s="83" t="s">
        <v>2693</v>
      </c>
      <c r="CI134" s="83" t="s">
        <v>1395</v>
      </c>
      <c r="CJ134" s="83" t="s">
        <v>2701</v>
      </c>
      <c r="CK134" s="144">
        <v>0</v>
      </c>
      <c r="CL134" s="99">
        <v>591000</v>
      </c>
    </row>
    <row r="135" spans="1:90">
      <c r="A135" s="83" t="s">
        <v>1494</v>
      </c>
      <c r="B135" s="83" t="s">
        <v>1623</v>
      </c>
      <c r="D135" s="83" t="s">
        <v>673</v>
      </c>
      <c r="E135" s="83" t="s">
        <v>2770</v>
      </c>
      <c r="F135" s="83" t="s">
        <v>1717</v>
      </c>
      <c r="G135" s="83" t="s">
        <v>1841</v>
      </c>
      <c r="H135" s="83" t="s">
        <v>1201</v>
      </c>
      <c r="I135" s="83" t="s">
        <v>1202</v>
      </c>
      <c r="J135" s="83" t="s">
        <v>1203</v>
      </c>
      <c r="K135" s="83" t="s">
        <v>565</v>
      </c>
      <c r="L135" s="83" t="s">
        <v>398</v>
      </c>
      <c r="M135" s="83" t="s">
        <v>399</v>
      </c>
      <c r="N135" s="83" t="s">
        <v>2711</v>
      </c>
      <c r="O135" s="83" t="s">
        <v>106</v>
      </c>
      <c r="P135" s="83">
        <v>4</v>
      </c>
      <c r="Q135" s="83" t="s">
        <v>106</v>
      </c>
      <c r="R135" s="83" t="s">
        <v>2691</v>
      </c>
      <c r="S135" s="83" t="s">
        <v>2720</v>
      </c>
      <c r="T135" s="83" t="s">
        <v>2703</v>
      </c>
      <c r="U135" s="83" t="s">
        <v>401</v>
      </c>
      <c r="AC135" s="83" t="s">
        <v>401</v>
      </c>
      <c r="AD135" s="83">
        <v>122000</v>
      </c>
      <c r="AF135" s="83">
        <v>4000</v>
      </c>
      <c r="AJ135" s="83">
        <v>1</v>
      </c>
      <c r="AK135" s="83">
        <v>1</v>
      </c>
      <c r="AL135" s="83">
        <v>1176</v>
      </c>
      <c r="AM135" s="83" t="s">
        <v>2693</v>
      </c>
      <c r="BK135" s="83" t="s">
        <v>2694</v>
      </c>
      <c r="BL135" s="83" t="s">
        <v>2704</v>
      </c>
      <c r="BM135" s="83" t="s">
        <v>2698</v>
      </c>
      <c r="BN135" s="83" t="s">
        <v>2699</v>
      </c>
      <c r="BO135" s="83" t="s">
        <v>2697</v>
      </c>
      <c r="BP135" s="83" t="s">
        <v>2698</v>
      </c>
      <c r="BQ135" s="83" t="s">
        <v>2693</v>
      </c>
      <c r="BR135" s="83" t="s">
        <v>2693</v>
      </c>
      <c r="BS135" s="83" t="s">
        <v>2699</v>
      </c>
      <c r="BT135" s="83" t="s">
        <v>2696</v>
      </c>
      <c r="BU135" s="83" t="s">
        <v>2699</v>
      </c>
      <c r="BV135" s="83" t="s">
        <v>2696</v>
      </c>
      <c r="BW135" s="83" t="s">
        <v>2695</v>
      </c>
      <c r="BX135" s="83" t="s">
        <v>2696</v>
      </c>
      <c r="BY135" s="83" t="s">
        <v>2696</v>
      </c>
      <c r="BZ135" s="83" t="s">
        <v>2693</v>
      </c>
      <c r="CA135" s="83" t="s">
        <v>2693</v>
      </c>
      <c r="CB135" s="83">
        <v>9</v>
      </c>
      <c r="CC135" s="83" t="s">
        <v>2696</v>
      </c>
      <c r="CD135" s="83" t="s">
        <v>2696</v>
      </c>
      <c r="CF135" s="83" t="s">
        <v>1988</v>
      </c>
      <c r="CG135" s="83" t="s">
        <v>1989</v>
      </c>
      <c r="CH135" s="83" t="s">
        <v>2693</v>
      </c>
      <c r="CI135" s="83" t="s">
        <v>1395</v>
      </c>
      <c r="CJ135" s="83" t="s">
        <v>2701</v>
      </c>
      <c r="CK135" s="144">
        <v>0</v>
      </c>
      <c r="CL135"/>
    </row>
    <row r="136" spans="1:90">
      <c r="A136" s="83" t="s">
        <v>1512</v>
      </c>
      <c r="B136" s="83" t="s">
        <v>2771</v>
      </c>
      <c r="D136" s="83" t="s">
        <v>688</v>
      </c>
      <c r="E136" s="83" t="s">
        <v>894</v>
      </c>
      <c r="F136" s="83" t="s">
        <v>1718</v>
      </c>
      <c r="G136" s="83" t="s">
        <v>1842</v>
      </c>
      <c r="H136" s="83" t="s">
        <v>1201</v>
      </c>
      <c r="I136" s="83" t="s">
        <v>1202</v>
      </c>
      <c r="J136" s="83" t="s">
        <v>1203</v>
      </c>
      <c r="K136" s="83" t="s">
        <v>565</v>
      </c>
      <c r="L136" s="83" t="s">
        <v>398</v>
      </c>
      <c r="M136" s="83" t="s">
        <v>399</v>
      </c>
      <c r="N136" s="83" t="s">
        <v>2719</v>
      </c>
      <c r="O136" s="83" t="s">
        <v>106</v>
      </c>
      <c r="P136" s="83">
        <v>4</v>
      </c>
      <c r="Q136" s="83" t="s">
        <v>106</v>
      </c>
      <c r="R136" s="83" t="s">
        <v>2691</v>
      </c>
      <c r="S136" s="83" t="s">
        <v>2772</v>
      </c>
      <c r="T136" s="83" t="s">
        <v>2703</v>
      </c>
      <c r="U136" s="83" t="s">
        <v>401</v>
      </c>
      <c r="AC136" s="83" t="s">
        <v>401</v>
      </c>
      <c r="AD136" s="83">
        <v>63000</v>
      </c>
      <c r="AF136" s="83">
        <v>0</v>
      </c>
      <c r="AJ136" s="83">
        <v>1</v>
      </c>
      <c r="AK136" s="83">
        <v>1</v>
      </c>
      <c r="AL136" s="83">
        <v>1296</v>
      </c>
      <c r="AM136" s="83" t="s">
        <v>2693</v>
      </c>
      <c r="BK136" s="83" t="s">
        <v>2694</v>
      </c>
      <c r="BL136" s="83" t="s">
        <v>2704</v>
      </c>
      <c r="BM136" s="83" t="s">
        <v>2698</v>
      </c>
      <c r="BN136" s="83" t="s">
        <v>2699</v>
      </c>
      <c r="BO136" s="83" t="s">
        <v>2697</v>
      </c>
      <c r="BP136" s="83" t="s">
        <v>2698</v>
      </c>
      <c r="BQ136" s="83" t="s">
        <v>2693</v>
      </c>
      <c r="BR136" s="83" t="s">
        <v>2693</v>
      </c>
      <c r="BS136" s="83" t="s">
        <v>2699</v>
      </c>
      <c r="BT136" s="83" t="s">
        <v>2696</v>
      </c>
      <c r="BU136" s="83" t="s">
        <v>2699</v>
      </c>
      <c r="BV136" s="83" t="s">
        <v>2696</v>
      </c>
      <c r="BW136" s="83" t="s">
        <v>2695</v>
      </c>
      <c r="BX136" s="83" t="s">
        <v>2696</v>
      </c>
      <c r="BY136" s="83" t="s">
        <v>2696</v>
      </c>
      <c r="BZ136" s="83" t="s">
        <v>2693</v>
      </c>
      <c r="CA136" s="83" t="s">
        <v>2693</v>
      </c>
      <c r="CB136" s="83">
        <v>9</v>
      </c>
      <c r="CC136" s="83" t="s">
        <v>2696</v>
      </c>
      <c r="CD136" s="83" t="s">
        <v>2696</v>
      </c>
      <c r="CF136" s="83" t="s">
        <v>1990</v>
      </c>
      <c r="CG136" s="83" t="s">
        <v>1991</v>
      </c>
      <c r="CH136" s="83" t="s">
        <v>2693</v>
      </c>
      <c r="CI136" s="83" t="s">
        <v>1395</v>
      </c>
      <c r="CJ136" s="83" t="s">
        <v>2701</v>
      </c>
      <c r="CK136" s="144">
        <v>0</v>
      </c>
      <c r="CL136" s="99">
        <v>216000</v>
      </c>
    </row>
    <row r="137" spans="1:90">
      <c r="A137" s="83" t="s">
        <v>2620</v>
      </c>
      <c r="B137" s="83" t="s">
        <v>3334</v>
      </c>
      <c r="D137" s="83" t="s">
        <v>688</v>
      </c>
      <c r="E137" s="83" t="s">
        <v>2621</v>
      </c>
      <c r="F137" s="83" t="s">
        <v>3335</v>
      </c>
      <c r="G137" s="83" t="s">
        <v>2334</v>
      </c>
      <c r="H137" s="83" t="s">
        <v>1201</v>
      </c>
      <c r="I137" s="83" t="s">
        <v>1202</v>
      </c>
      <c r="J137" s="83" t="s">
        <v>1203</v>
      </c>
      <c r="K137" s="83" t="s">
        <v>565</v>
      </c>
      <c r="L137" s="83" t="s">
        <v>398</v>
      </c>
      <c r="M137" s="83" t="s">
        <v>399</v>
      </c>
      <c r="N137" s="83" t="s">
        <v>3327</v>
      </c>
      <c r="O137" s="83" t="s">
        <v>106</v>
      </c>
      <c r="P137" s="83">
        <v>4</v>
      </c>
      <c r="Q137" s="83" t="s">
        <v>106</v>
      </c>
      <c r="R137" s="83" t="s">
        <v>2727</v>
      </c>
      <c r="S137" s="83" t="s">
        <v>2712</v>
      </c>
      <c r="T137" s="83" t="s">
        <v>2843</v>
      </c>
      <c r="U137" s="83" t="s">
        <v>401</v>
      </c>
      <c r="AC137" s="83" t="s">
        <v>401</v>
      </c>
      <c r="AD137" s="83">
        <v>152000</v>
      </c>
      <c r="AF137" s="83">
        <v>14000</v>
      </c>
      <c r="AJ137" s="83">
        <v>1</v>
      </c>
      <c r="AK137" s="83">
        <v>2</v>
      </c>
      <c r="AL137" s="83">
        <v>1743</v>
      </c>
      <c r="AM137" s="83" t="s">
        <v>2693</v>
      </c>
      <c r="BK137" s="83" t="s">
        <v>2694</v>
      </c>
      <c r="BL137" s="83" t="s">
        <v>2704</v>
      </c>
      <c r="BM137" s="83" t="s">
        <v>2698</v>
      </c>
      <c r="BN137" s="83" t="s">
        <v>2698</v>
      </c>
      <c r="BO137" s="83" t="s">
        <v>2697</v>
      </c>
      <c r="BP137" s="83" t="s">
        <v>2698</v>
      </c>
      <c r="BQ137" s="83" t="s">
        <v>2699</v>
      </c>
      <c r="BR137" s="83" t="s">
        <v>2693</v>
      </c>
      <c r="BS137" s="83" t="s">
        <v>2699</v>
      </c>
      <c r="BT137" s="83" t="s">
        <v>2696</v>
      </c>
      <c r="BU137" s="83" t="s">
        <v>2699</v>
      </c>
      <c r="BV137" s="83" t="s">
        <v>2696</v>
      </c>
      <c r="BW137" s="83" t="s">
        <v>2698</v>
      </c>
      <c r="BX137" s="83" t="s">
        <v>2696</v>
      </c>
      <c r="BY137" s="83" t="s">
        <v>2699</v>
      </c>
      <c r="BZ137" s="83" t="s">
        <v>2693</v>
      </c>
      <c r="CA137" s="83" t="s">
        <v>2693</v>
      </c>
      <c r="CB137" s="83" t="s">
        <v>2694</v>
      </c>
      <c r="CC137" s="83" t="s">
        <v>2699</v>
      </c>
      <c r="CD137" s="83" t="s">
        <v>2696</v>
      </c>
      <c r="CF137" s="83" t="s">
        <v>3336</v>
      </c>
      <c r="CG137" s="83" t="s">
        <v>3337</v>
      </c>
      <c r="CH137" s="83" t="s">
        <v>2693</v>
      </c>
      <c r="CI137" s="83" t="s">
        <v>3992</v>
      </c>
      <c r="CJ137" s="83" t="s">
        <v>2701</v>
      </c>
      <c r="CK137" s="144">
        <v>0</v>
      </c>
      <c r="CL137" s="99">
        <v>214000</v>
      </c>
    </row>
    <row r="138" spans="1:90">
      <c r="A138" s="83" t="s">
        <v>1543</v>
      </c>
      <c r="B138" s="83" t="s">
        <v>1624</v>
      </c>
      <c r="D138" s="83" t="s">
        <v>688</v>
      </c>
      <c r="E138" s="83" t="s">
        <v>2773</v>
      </c>
      <c r="F138" s="83" t="s">
        <v>1719</v>
      </c>
      <c r="G138" s="83" t="s">
        <v>1843</v>
      </c>
      <c r="H138" s="83" t="s">
        <v>1201</v>
      </c>
      <c r="I138" s="83" t="s">
        <v>1202</v>
      </c>
      <c r="J138" s="83" t="s">
        <v>1203</v>
      </c>
      <c r="K138" s="83" t="s">
        <v>565</v>
      </c>
      <c r="L138" s="83" t="s">
        <v>398</v>
      </c>
      <c r="M138" s="83" t="s">
        <v>399</v>
      </c>
      <c r="N138" s="83" t="s">
        <v>2719</v>
      </c>
      <c r="O138" s="83" t="s">
        <v>106</v>
      </c>
      <c r="P138" s="83">
        <v>4</v>
      </c>
      <c r="Q138" s="83" t="s">
        <v>106</v>
      </c>
      <c r="R138" s="83" t="s">
        <v>2691</v>
      </c>
      <c r="S138" s="83" t="s">
        <v>1465</v>
      </c>
      <c r="T138" s="83" t="s">
        <v>2703</v>
      </c>
      <c r="U138" s="83" t="s">
        <v>401</v>
      </c>
      <c r="AC138" s="83" t="s">
        <v>401</v>
      </c>
      <c r="AD138" s="83">
        <v>237000</v>
      </c>
      <c r="AF138" s="83">
        <v>0</v>
      </c>
      <c r="AJ138" s="83">
        <v>1</v>
      </c>
      <c r="AK138" s="83">
        <v>1</v>
      </c>
      <c r="AL138" s="83">
        <v>2646</v>
      </c>
      <c r="AM138" s="83" t="s">
        <v>2693</v>
      </c>
      <c r="BK138" s="83" t="s">
        <v>2694</v>
      </c>
      <c r="BL138" s="83" t="s">
        <v>2704</v>
      </c>
      <c r="BM138" s="83" t="s">
        <v>2697</v>
      </c>
      <c r="BN138" s="83" t="s">
        <v>2696</v>
      </c>
      <c r="BO138" s="83" t="s">
        <v>2693</v>
      </c>
      <c r="BP138" s="83" t="s">
        <v>2698</v>
      </c>
      <c r="BQ138" s="83" t="s">
        <v>2699</v>
      </c>
      <c r="BR138" s="83" t="s">
        <v>2693</v>
      </c>
      <c r="BS138" s="83" t="s">
        <v>2699</v>
      </c>
      <c r="BT138" s="83" t="s">
        <v>2696</v>
      </c>
      <c r="BU138" s="83" t="s">
        <v>2699</v>
      </c>
      <c r="BV138" s="83" t="s">
        <v>2696</v>
      </c>
      <c r="BW138" s="83" t="s">
        <v>2695</v>
      </c>
      <c r="BX138" s="83" t="s">
        <v>2696</v>
      </c>
      <c r="BY138" s="83" t="s">
        <v>2699</v>
      </c>
      <c r="BZ138" s="83" t="s">
        <v>2693</v>
      </c>
      <c r="CA138" s="83" t="s">
        <v>2693</v>
      </c>
      <c r="CB138" s="83">
        <v>9</v>
      </c>
      <c r="CC138" s="83" t="s">
        <v>2699</v>
      </c>
      <c r="CD138" s="83" t="s">
        <v>2696</v>
      </c>
      <c r="CF138" s="83" t="s">
        <v>1992</v>
      </c>
      <c r="CG138" s="83" t="s">
        <v>1993</v>
      </c>
      <c r="CH138" s="83" t="s">
        <v>2693</v>
      </c>
      <c r="CI138" s="83" t="s">
        <v>1395</v>
      </c>
      <c r="CJ138" s="83" t="s">
        <v>2701</v>
      </c>
      <c r="CK138" s="144">
        <v>0</v>
      </c>
      <c r="CL138" s="99">
        <v>227000</v>
      </c>
    </row>
    <row r="139" spans="1:90">
      <c r="A139" s="83" t="s">
        <v>1543</v>
      </c>
      <c r="B139" s="83" t="s">
        <v>1624</v>
      </c>
      <c r="D139" s="83" t="s">
        <v>673</v>
      </c>
      <c r="E139" s="83" t="s">
        <v>2387</v>
      </c>
      <c r="F139" s="83" t="s">
        <v>1719</v>
      </c>
      <c r="G139" s="83" t="s">
        <v>1843</v>
      </c>
      <c r="H139" s="83" t="s">
        <v>1201</v>
      </c>
      <c r="I139" s="83" t="s">
        <v>1202</v>
      </c>
      <c r="J139" s="83" t="s">
        <v>1203</v>
      </c>
      <c r="K139" s="83" t="s">
        <v>565</v>
      </c>
      <c r="L139" s="83" t="s">
        <v>398</v>
      </c>
      <c r="M139" s="83" t="s">
        <v>399</v>
      </c>
      <c r="N139" s="83" t="s">
        <v>2719</v>
      </c>
      <c r="O139" s="83" t="s">
        <v>106</v>
      </c>
      <c r="P139" s="83">
        <v>4</v>
      </c>
      <c r="Q139" s="83" t="s">
        <v>106</v>
      </c>
      <c r="R139" s="83" t="s">
        <v>2691</v>
      </c>
      <c r="S139" s="83" t="s">
        <v>1465</v>
      </c>
      <c r="T139" s="83" t="s">
        <v>2703</v>
      </c>
      <c r="U139" s="83" t="s">
        <v>401</v>
      </c>
      <c r="AC139" s="83" t="s">
        <v>401</v>
      </c>
      <c r="AD139" s="83">
        <v>58000</v>
      </c>
      <c r="AF139" s="83">
        <v>0</v>
      </c>
      <c r="AJ139" s="83">
        <v>1</v>
      </c>
      <c r="AK139" s="83">
        <v>2</v>
      </c>
      <c r="AL139" s="83">
        <v>644</v>
      </c>
      <c r="AM139" s="83" t="s">
        <v>2693</v>
      </c>
      <c r="BK139" s="83" t="s">
        <v>2694</v>
      </c>
      <c r="BL139" s="83" t="s">
        <v>2704</v>
      </c>
      <c r="BM139" s="83" t="s">
        <v>2697</v>
      </c>
      <c r="BN139" s="83" t="s">
        <v>2696</v>
      </c>
      <c r="BO139" s="83" t="s">
        <v>2693</v>
      </c>
      <c r="BP139" s="83" t="s">
        <v>2698</v>
      </c>
      <c r="BQ139" s="83" t="s">
        <v>2699</v>
      </c>
      <c r="BR139" s="83" t="s">
        <v>2693</v>
      </c>
      <c r="BS139" s="83" t="s">
        <v>2699</v>
      </c>
      <c r="BT139" s="83" t="s">
        <v>2696</v>
      </c>
      <c r="BU139" s="83" t="s">
        <v>2699</v>
      </c>
      <c r="BV139" s="83" t="s">
        <v>2696</v>
      </c>
      <c r="BW139" s="83" t="s">
        <v>2695</v>
      </c>
      <c r="BX139" s="83" t="s">
        <v>2696</v>
      </c>
      <c r="BY139" s="83" t="s">
        <v>2699</v>
      </c>
      <c r="BZ139" s="83" t="s">
        <v>2693</v>
      </c>
      <c r="CA139" s="83" t="s">
        <v>2693</v>
      </c>
      <c r="CB139" s="83">
        <v>9</v>
      </c>
      <c r="CC139" s="83" t="s">
        <v>2699</v>
      </c>
      <c r="CD139" s="83" t="s">
        <v>2696</v>
      </c>
      <c r="CF139" s="83" t="s">
        <v>1994</v>
      </c>
      <c r="CG139" s="83" t="s">
        <v>1995</v>
      </c>
      <c r="CH139" s="83" t="s">
        <v>2693</v>
      </c>
      <c r="CI139" s="83" t="s">
        <v>1395</v>
      </c>
      <c r="CJ139" s="83" t="s">
        <v>2701</v>
      </c>
      <c r="CK139" s="144">
        <v>0</v>
      </c>
      <c r="CL139"/>
    </row>
    <row r="140" spans="1:90">
      <c r="A140" s="83" t="s">
        <v>1504</v>
      </c>
      <c r="B140" s="83" t="s">
        <v>1625</v>
      </c>
      <c r="D140" s="83" t="s">
        <v>688</v>
      </c>
      <c r="E140" s="83" t="s">
        <v>2387</v>
      </c>
      <c r="F140" s="83" t="s">
        <v>1720</v>
      </c>
      <c r="G140" s="83" t="s">
        <v>1844</v>
      </c>
      <c r="H140" s="83" t="s">
        <v>1201</v>
      </c>
      <c r="I140" s="83" t="s">
        <v>1202</v>
      </c>
      <c r="J140" s="83" t="s">
        <v>1203</v>
      </c>
      <c r="K140" s="83" t="s">
        <v>565</v>
      </c>
      <c r="L140" s="83" t="s">
        <v>398</v>
      </c>
      <c r="M140" s="83" t="s">
        <v>399</v>
      </c>
      <c r="N140" s="83" t="s">
        <v>2774</v>
      </c>
      <c r="O140" s="83" t="s">
        <v>106</v>
      </c>
      <c r="P140" s="83">
        <v>4</v>
      </c>
      <c r="Q140" s="83" t="s">
        <v>106</v>
      </c>
      <c r="R140" s="83" t="s">
        <v>2691</v>
      </c>
      <c r="S140" s="83" t="s">
        <v>2775</v>
      </c>
      <c r="T140" s="83" t="s">
        <v>2703</v>
      </c>
      <c r="U140" s="83" t="s">
        <v>401</v>
      </c>
      <c r="AC140" s="83" t="s">
        <v>401</v>
      </c>
      <c r="AD140" s="83">
        <v>202000</v>
      </c>
      <c r="AF140" s="83">
        <v>0</v>
      </c>
      <c r="AJ140" s="83">
        <v>1</v>
      </c>
      <c r="AK140" s="83">
        <v>1</v>
      </c>
      <c r="AL140" s="83">
        <v>1890</v>
      </c>
      <c r="AM140" s="83" t="s">
        <v>2693</v>
      </c>
      <c r="BK140" s="83" t="s">
        <v>2694</v>
      </c>
      <c r="BL140" s="83" t="s">
        <v>2693</v>
      </c>
      <c r="BM140" s="83" t="s">
        <v>2698</v>
      </c>
      <c r="BN140" s="83" t="s">
        <v>2699</v>
      </c>
      <c r="BO140" s="83" t="s">
        <v>2697</v>
      </c>
      <c r="BP140" s="83" t="s">
        <v>2698</v>
      </c>
      <c r="BQ140" s="83" t="s">
        <v>2699</v>
      </c>
      <c r="BR140" s="83" t="s">
        <v>2693</v>
      </c>
      <c r="BS140" s="83" t="s">
        <v>2699</v>
      </c>
      <c r="BT140" s="83" t="s">
        <v>2696</v>
      </c>
      <c r="BU140" s="83" t="s">
        <v>2699</v>
      </c>
      <c r="BV140" s="83" t="s">
        <v>2696</v>
      </c>
      <c r="BW140" s="83" t="s">
        <v>2695</v>
      </c>
      <c r="BX140" s="83" t="s">
        <v>2696</v>
      </c>
      <c r="BY140" s="83" t="s">
        <v>2699</v>
      </c>
      <c r="BZ140" s="83" t="s">
        <v>2693</v>
      </c>
      <c r="CA140" s="83" t="s">
        <v>2693</v>
      </c>
      <c r="CB140" s="83">
        <v>9</v>
      </c>
      <c r="CC140" s="83" t="s">
        <v>2699</v>
      </c>
      <c r="CD140" s="83" t="s">
        <v>2696</v>
      </c>
      <c r="CF140" s="83" t="s">
        <v>2776</v>
      </c>
      <c r="CG140" s="83" t="s">
        <v>1996</v>
      </c>
      <c r="CH140" s="83" t="s">
        <v>2693</v>
      </c>
      <c r="CI140" s="83" t="s">
        <v>1395</v>
      </c>
      <c r="CJ140" s="83" t="s">
        <v>2701</v>
      </c>
      <c r="CK140" s="144">
        <v>0</v>
      </c>
      <c r="CL140" s="99">
        <v>547000</v>
      </c>
    </row>
    <row r="141" spans="1:90">
      <c r="A141" s="83" t="s">
        <v>1544</v>
      </c>
      <c r="B141" s="83" t="s">
        <v>1626</v>
      </c>
      <c r="D141" s="83" t="s">
        <v>688</v>
      </c>
      <c r="E141" s="83" t="s">
        <v>894</v>
      </c>
      <c r="F141" s="83" t="s">
        <v>1721</v>
      </c>
      <c r="G141" s="83" t="s">
        <v>1845</v>
      </c>
      <c r="H141" s="83" t="s">
        <v>1201</v>
      </c>
      <c r="I141" s="83" t="s">
        <v>1202</v>
      </c>
      <c r="J141" s="83" t="s">
        <v>1203</v>
      </c>
      <c r="K141" s="83" t="s">
        <v>565</v>
      </c>
      <c r="L141" s="83" t="s">
        <v>398</v>
      </c>
      <c r="M141" s="83" t="s">
        <v>399</v>
      </c>
      <c r="N141" s="83" t="s">
        <v>2743</v>
      </c>
      <c r="O141" s="83" t="s">
        <v>106</v>
      </c>
      <c r="P141" s="83">
        <v>4</v>
      </c>
      <c r="Q141" s="83" t="s">
        <v>106</v>
      </c>
      <c r="R141" s="83" t="s">
        <v>2691</v>
      </c>
      <c r="S141" s="83" t="s">
        <v>1446</v>
      </c>
      <c r="T141" s="83" t="s">
        <v>2703</v>
      </c>
      <c r="U141" s="83" t="s">
        <v>401</v>
      </c>
      <c r="AC141" s="83" t="s">
        <v>401</v>
      </c>
      <c r="AD141" s="83">
        <v>141000</v>
      </c>
      <c r="AF141" s="83">
        <v>4000</v>
      </c>
      <c r="AJ141" s="83">
        <v>1</v>
      </c>
      <c r="AK141" s="83">
        <v>1</v>
      </c>
      <c r="AL141" s="83">
        <v>1184</v>
      </c>
      <c r="AM141" s="83" t="s">
        <v>2693</v>
      </c>
      <c r="BK141" s="83" t="s">
        <v>2694</v>
      </c>
      <c r="BL141" s="83" t="s">
        <v>2704</v>
      </c>
      <c r="BM141" s="83" t="s">
        <v>2698</v>
      </c>
      <c r="BN141" s="83" t="s">
        <v>2699</v>
      </c>
      <c r="BO141" s="83" t="s">
        <v>2697</v>
      </c>
      <c r="BP141" s="83" t="s">
        <v>2698</v>
      </c>
      <c r="BQ141" s="83" t="s">
        <v>2693</v>
      </c>
      <c r="BR141" s="83" t="s">
        <v>2693</v>
      </c>
      <c r="BS141" s="83" t="s">
        <v>2699</v>
      </c>
      <c r="BT141" s="83" t="s">
        <v>2696</v>
      </c>
      <c r="BU141" s="83" t="s">
        <v>2699</v>
      </c>
      <c r="BV141" s="83" t="s">
        <v>2696</v>
      </c>
      <c r="BW141" s="83" t="s">
        <v>2695</v>
      </c>
      <c r="BX141" s="83" t="s">
        <v>2696</v>
      </c>
      <c r="BY141" s="83" t="s">
        <v>2696</v>
      </c>
      <c r="BZ141" s="83" t="s">
        <v>2693</v>
      </c>
      <c r="CA141" s="83" t="s">
        <v>2693</v>
      </c>
      <c r="CB141" s="83">
        <v>9</v>
      </c>
      <c r="CC141" s="83" t="s">
        <v>2696</v>
      </c>
      <c r="CD141" s="83" t="s">
        <v>2696</v>
      </c>
      <c r="CF141" s="83" t="s">
        <v>1997</v>
      </c>
      <c r="CG141" s="83" t="s">
        <v>1998</v>
      </c>
      <c r="CH141" s="83" t="s">
        <v>2693</v>
      </c>
      <c r="CI141" s="83" t="s">
        <v>1395</v>
      </c>
      <c r="CJ141" s="83" t="s">
        <v>2701</v>
      </c>
      <c r="CK141" s="144">
        <v>0</v>
      </c>
      <c r="CL141" s="99">
        <v>386000</v>
      </c>
    </row>
    <row r="142" spans="1:90">
      <c r="A142" s="83" t="s">
        <v>1544</v>
      </c>
      <c r="B142" s="83" t="s">
        <v>1626</v>
      </c>
      <c r="D142" s="83" t="s">
        <v>673</v>
      </c>
      <c r="E142" s="83" t="s">
        <v>2491</v>
      </c>
      <c r="F142" s="83" t="s">
        <v>1721</v>
      </c>
      <c r="G142" s="83" t="s">
        <v>1845</v>
      </c>
      <c r="H142" s="83" t="s">
        <v>1201</v>
      </c>
      <c r="I142" s="83" t="s">
        <v>1202</v>
      </c>
      <c r="J142" s="83" t="s">
        <v>1203</v>
      </c>
      <c r="K142" s="83" t="s">
        <v>565</v>
      </c>
      <c r="L142" s="83" t="s">
        <v>398</v>
      </c>
      <c r="M142" s="83" t="s">
        <v>399</v>
      </c>
      <c r="N142" s="83" t="s">
        <v>2743</v>
      </c>
      <c r="O142" s="83" t="s">
        <v>106</v>
      </c>
      <c r="P142" s="83">
        <v>4</v>
      </c>
      <c r="Q142" s="83" t="s">
        <v>106</v>
      </c>
      <c r="R142" s="83" t="s">
        <v>2691</v>
      </c>
      <c r="S142" s="83" t="s">
        <v>2769</v>
      </c>
      <c r="T142" s="83" t="s">
        <v>2703</v>
      </c>
      <c r="U142" s="83" t="s">
        <v>401</v>
      </c>
      <c r="AC142" s="83" t="s">
        <v>401</v>
      </c>
      <c r="AD142" s="83">
        <v>48000</v>
      </c>
      <c r="AF142" s="83">
        <v>0</v>
      </c>
      <c r="AJ142" s="83">
        <v>1</v>
      </c>
      <c r="AK142" s="83">
        <v>1</v>
      </c>
      <c r="AL142" s="83">
        <v>660</v>
      </c>
      <c r="AM142" s="83" t="s">
        <v>2693</v>
      </c>
      <c r="BK142" s="83" t="s">
        <v>2694</v>
      </c>
      <c r="BL142" s="83" t="s">
        <v>2704</v>
      </c>
      <c r="BM142" s="83" t="s">
        <v>2698</v>
      </c>
      <c r="BN142" s="83" t="s">
        <v>2699</v>
      </c>
      <c r="BO142" s="83" t="s">
        <v>2697</v>
      </c>
      <c r="BP142" s="83" t="s">
        <v>2698</v>
      </c>
      <c r="BQ142" s="83" t="s">
        <v>2693</v>
      </c>
      <c r="BR142" s="83" t="s">
        <v>2693</v>
      </c>
      <c r="BS142" s="83" t="s">
        <v>2699</v>
      </c>
      <c r="BT142" s="83" t="s">
        <v>2696</v>
      </c>
      <c r="BU142" s="83" t="s">
        <v>2699</v>
      </c>
      <c r="BV142" s="83" t="s">
        <v>2696</v>
      </c>
      <c r="BW142" s="83" t="s">
        <v>2695</v>
      </c>
      <c r="BX142" s="83" t="s">
        <v>2696</v>
      </c>
      <c r="BY142" s="83" t="s">
        <v>2696</v>
      </c>
      <c r="BZ142" s="83" t="s">
        <v>2693</v>
      </c>
      <c r="CA142" s="83" t="s">
        <v>2693</v>
      </c>
      <c r="CB142" s="83">
        <v>9</v>
      </c>
      <c r="CC142" s="83" t="s">
        <v>2696</v>
      </c>
      <c r="CD142" s="83" t="s">
        <v>2696</v>
      </c>
      <c r="CF142" s="83" t="s">
        <v>1999</v>
      </c>
      <c r="CG142" s="83" t="s">
        <v>2000</v>
      </c>
      <c r="CH142" s="83" t="s">
        <v>2693</v>
      </c>
      <c r="CI142" s="83" t="s">
        <v>1395</v>
      </c>
      <c r="CJ142" s="83" t="s">
        <v>2701</v>
      </c>
      <c r="CK142" s="144">
        <v>0</v>
      </c>
      <c r="CL142"/>
    </row>
    <row r="143" spans="1:90">
      <c r="A143" s="83" t="s">
        <v>1124</v>
      </c>
      <c r="B143" s="83" t="s">
        <v>3436</v>
      </c>
      <c r="D143" s="83" t="s">
        <v>688</v>
      </c>
      <c r="E143" s="83" t="s">
        <v>1674</v>
      </c>
      <c r="F143" s="83" t="s">
        <v>1288</v>
      </c>
      <c r="G143" s="83" t="s">
        <v>1157</v>
      </c>
      <c r="H143" s="83" t="s">
        <v>1201</v>
      </c>
      <c r="I143" s="83" t="s">
        <v>1202</v>
      </c>
      <c r="J143" s="83" t="s">
        <v>1203</v>
      </c>
      <c r="K143" s="83" t="s">
        <v>565</v>
      </c>
      <c r="L143" s="83" t="s">
        <v>398</v>
      </c>
      <c r="M143" s="83" t="s">
        <v>399</v>
      </c>
      <c r="N143" s="83" t="s">
        <v>3057</v>
      </c>
      <c r="O143" s="83" t="s">
        <v>106</v>
      </c>
      <c r="P143" s="83">
        <v>4</v>
      </c>
      <c r="Q143" s="83" t="s">
        <v>106</v>
      </c>
      <c r="R143" s="83" t="s">
        <v>3437</v>
      </c>
      <c r="S143" s="83" t="s">
        <v>2714</v>
      </c>
      <c r="T143" s="83" t="s">
        <v>2703</v>
      </c>
      <c r="U143" s="83" t="s">
        <v>401</v>
      </c>
      <c r="AC143" s="83" t="s">
        <v>401</v>
      </c>
      <c r="AD143" s="83">
        <v>67000</v>
      </c>
      <c r="AF143" s="83">
        <v>3000</v>
      </c>
      <c r="AJ143" s="83">
        <v>1</v>
      </c>
      <c r="AK143" s="83">
        <v>1</v>
      </c>
      <c r="AL143" s="83">
        <v>720</v>
      </c>
      <c r="AM143" s="83" t="s">
        <v>2693</v>
      </c>
      <c r="BK143" s="83" t="s">
        <v>2694</v>
      </c>
      <c r="BL143" s="83" t="s">
        <v>2693</v>
      </c>
      <c r="BM143" s="83" t="s">
        <v>2698</v>
      </c>
      <c r="BN143" s="83" t="s">
        <v>2698</v>
      </c>
      <c r="BO143" s="83" t="s">
        <v>2697</v>
      </c>
      <c r="BP143" s="83" t="s">
        <v>2695</v>
      </c>
      <c r="BQ143" s="83" t="s">
        <v>2699</v>
      </c>
      <c r="BR143" s="83" t="s">
        <v>2693</v>
      </c>
      <c r="BS143" s="83" t="s">
        <v>2699</v>
      </c>
      <c r="BT143" s="83" t="s">
        <v>2696</v>
      </c>
      <c r="BU143" s="83" t="s">
        <v>2699</v>
      </c>
      <c r="BV143" s="83" t="s">
        <v>2697</v>
      </c>
      <c r="BW143" s="83" t="s">
        <v>2698</v>
      </c>
      <c r="BX143" s="83" t="s">
        <v>2696</v>
      </c>
      <c r="BY143" s="83" t="s">
        <v>2699</v>
      </c>
      <c r="BZ143" s="83" t="s">
        <v>2699</v>
      </c>
      <c r="CA143" s="83" t="s">
        <v>2693</v>
      </c>
      <c r="CB143" s="83" t="s">
        <v>2694</v>
      </c>
      <c r="CC143" s="83" t="s">
        <v>2696</v>
      </c>
      <c r="CD143" s="83" t="s">
        <v>2696</v>
      </c>
      <c r="CF143" s="83" t="s">
        <v>942</v>
      </c>
      <c r="CG143" s="83" t="s">
        <v>943</v>
      </c>
      <c r="CH143" s="83" t="s">
        <v>2693</v>
      </c>
      <c r="CI143" s="83" t="s">
        <v>3992</v>
      </c>
      <c r="CJ143" s="83" t="s">
        <v>2701</v>
      </c>
      <c r="CK143" s="144">
        <v>0</v>
      </c>
      <c r="CL143" s="99">
        <v>339000</v>
      </c>
    </row>
    <row r="144" spans="1:90">
      <c r="A144" s="83" t="s">
        <v>1545</v>
      </c>
      <c r="B144" s="83" t="s">
        <v>2777</v>
      </c>
      <c r="D144" s="83" t="s">
        <v>688</v>
      </c>
      <c r="E144" s="83" t="s">
        <v>2491</v>
      </c>
      <c r="F144" s="83" t="s">
        <v>1722</v>
      </c>
      <c r="G144" s="83" t="s">
        <v>1813</v>
      </c>
      <c r="H144" s="83" t="s">
        <v>1201</v>
      </c>
      <c r="I144" s="83" t="s">
        <v>1202</v>
      </c>
      <c r="J144" s="83" t="s">
        <v>1203</v>
      </c>
      <c r="K144" s="83" t="s">
        <v>565</v>
      </c>
      <c r="L144" s="83" t="s">
        <v>398</v>
      </c>
      <c r="M144" s="83" t="s">
        <v>399</v>
      </c>
      <c r="N144" s="83" t="s">
        <v>2778</v>
      </c>
      <c r="O144" s="83" t="s">
        <v>106</v>
      </c>
      <c r="P144" s="83">
        <v>4</v>
      </c>
      <c r="Q144" s="83" t="s">
        <v>106</v>
      </c>
      <c r="R144" s="83" t="s">
        <v>2691</v>
      </c>
      <c r="S144" s="83" t="s">
        <v>2779</v>
      </c>
      <c r="T144" s="83" t="s">
        <v>2703</v>
      </c>
      <c r="U144" s="83" t="s">
        <v>401</v>
      </c>
      <c r="AC144" s="83" t="s">
        <v>401</v>
      </c>
      <c r="AD144" s="83">
        <v>104000</v>
      </c>
      <c r="AF144" s="83">
        <v>0</v>
      </c>
      <c r="AJ144" s="83">
        <v>1</v>
      </c>
      <c r="AK144" s="83">
        <v>1</v>
      </c>
      <c r="AL144" s="83">
        <v>1232</v>
      </c>
      <c r="AM144" s="83" t="s">
        <v>2693</v>
      </c>
      <c r="BK144" s="83" t="s">
        <v>2694</v>
      </c>
      <c r="BL144" s="83" t="s">
        <v>2704</v>
      </c>
      <c r="BM144" s="83" t="s">
        <v>2698</v>
      </c>
      <c r="BN144" s="83" t="s">
        <v>2699</v>
      </c>
      <c r="BO144" s="83" t="s">
        <v>2697</v>
      </c>
      <c r="BP144" s="83" t="s">
        <v>2698</v>
      </c>
      <c r="BQ144" s="83" t="s">
        <v>2693</v>
      </c>
      <c r="BR144" s="83" t="s">
        <v>2693</v>
      </c>
      <c r="BS144" s="83" t="s">
        <v>2699</v>
      </c>
      <c r="BT144" s="83" t="s">
        <v>2696</v>
      </c>
      <c r="BU144" s="83" t="s">
        <v>2699</v>
      </c>
      <c r="BV144" s="83" t="s">
        <v>2696</v>
      </c>
      <c r="BW144" s="83" t="s">
        <v>2695</v>
      </c>
      <c r="BX144" s="83" t="s">
        <v>2696</v>
      </c>
      <c r="BY144" s="83" t="s">
        <v>2696</v>
      </c>
      <c r="BZ144" s="83" t="s">
        <v>2693</v>
      </c>
      <c r="CA144" s="83" t="s">
        <v>2693</v>
      </c>
      <c r="CB144" s="83">
        <v>9</v>
      </c>
      <c r="CC144" s="83" t="s">
        <v>2696</v>
      </c>
      <c r="CD144" s="83" t="s">
        <v>2696</v>
      </c>
      <c r="CF144" s="83" t="s">
        <v>2001</v>
      </c>
      <c r="CG144" s="83" t="s">
        <v>2002</v>
      </c>
      <c r="CH144" s="83" t="s">
        <v>2693</v>
      </c>
      <c r="CI144" s="83" t="s">
        <v>1395</v>
      </c>
      <c r="CJ144" s="83" t="s">
        <v>2701</v>
      </c>
      <c r="CK144" s="144">
        <v>0</v>
      </c>
      <c r="CL144" s="99">
        <v>276000</v>
      </c>
    </row>
    <row r="145" spans="1:90">
      <c r="A145" s="83" t="s">
        <v>1545</v>
      </c>
      <c r="B145" s="83" t="s">
        <v>2777</v>
      </c>
      <c r="D145" s="83" t="s">
        <v>673</v>
      </c>
      <c r="E145" s="83" t="s">
        <v>894</v>
      </c>
      <c r="F145" s="83" t="s">
        <v>1722</v>
      </c>
      <c r="G145" s="83" t="s">
        <v>1813</v>
      </c>
      <c r="H145" s="83" t="s">
        <v>1201</v>
      </c>
      <c r="I145" s="83" t="s">
        <v>1202</v>
      </c>
      <c r="J145" s="83" t="s">
        <v>1203</v>
      </c>
      <c r="K145" s="83" t="s">
        <v>565</v>
      </c>
      <c r="L145" s="83" t="s">
        <v>398</v>
      </c>
      <c r="M145" s="83" t="s">
        <v>399</v>
      </c>
      <c r="N145" s="83" t="s">
        <v>2778</v>
      </c>
      <c r="O145" s="83" t="s">
        <v>106</v>
      </c>
      <c r="P145" s="83">
        <v>4</v>
      </c>
      <c r="Q145" s="83" t="s">
        <v>106</v>
      </c>
      <c r="R145" s="83" t="s">
        <v>2691</v>
      </c>
      <c r="S145" s="83" t="s">
        <v>2779</v>
      </c>
      <c r="T145" s="83" t="s">
        <v>2703</v>
      </c>
      <c r="U145" s="83" t="s">
        <v>401</v>
      </c>
      <c r="AC145" s="83" t="s">
        <v>401</v>
      </c>
      <c r="AD145" s="83">
        <v>125000</v>
      </c>
      <c r="AF145" s="83">
        <v>0</v>
      </c>
      <c r="AJ145" s="83">
        <v>1</v>
      </c>
      <c r="AK145" s="83">
        <v>1</v>
      </c>
      <c r="AL145" s="83">
        <v>1104</v>
      </c>
      <c r="AM145" s="83" t="s">
        <v>2693</v>
      </c>
      <c r="BK145" s="83" t="s">
        <v>2694</v>
      </c>
      <c r="BL145" s="83" t="s">
        <v>2704</v>
      </c>
      <c r="BM145" s="83" t="s">
        <v>2698</v>
      </c>
      <c r="BN145" s="83" t="s">
        <v>2699</v>
      </c>
      <c r="BO145" s="83" t="s">
        <v>2697</v>
      </c>
      <c r="BP145" s="83" t="s">
        <v>2698</v>
      </c>
      <c r="BQ145" s="83" t="s">
        <v>2693</v>
      </c>
      <c r="BR145" s="83" t="s">
        <v>2693</v>
      </c>
      <c r="BS145" s="83" t="s">
        <v>2699</v>
      </c>
      <c r="BT145" s="83" t="s">
        <v>2696</v>
      </c>
      <c r="BU145" s="83" t="s">
        <v>2699</v>
      </c>
      <c r="BV145" s="83" t="s">
        <v>2696</v>
      </c>
      <c r="BW145" s="83" t="s">
        <v>2695</v>
      </c>
      <c r="BX145" s="83" t="s">
        <v>2696</v>
      </c>
      <c r="BY145" s="83" t="s">
        <v>2696</v>
      </c>
      <c r="BZ145" s="83" t="s">
        <v>2693</v>
      </c>
      <c r="CA145" s="83" t="s">
        <v>2693</v>
      </c>
      <c r="CB145" s="83">
        <v>9</v>
      </c>
      <c r="CC145" s="83" t="s">
        <v>2696</v>
      </c>
      <c r="CD145" s="83" t="s">
        <v>2696</v>
      </c>
      <c r="CF145" s="83" t="s">
        <v>2003</v>
      </c>
      <c r="CG145" s="83" t="s">
        <v>2004</v>
      </c>
      <c r="CH145" s="83" t="s">
        <v>2693</v>
      </c>
      <c r="CI145" s="83" t="s">
        <v>1395</v>
      </c>
      <c r="CJ145" s="83" t="s">
        <v>2701</v>
      </c>
      <c r="CK145" s="144">
        <v>0</v>
      </c>
      <c r="CL145"/>
    </row>
    <row r="146" spans="1:90">
      <c r="A146" s="83" t="s">
        <v>2486</v>
      </c>
      <c r="B146" s="83" t="s">
        <v>2870</v>
      </c>
      <c r="D146" s="83" t="s">
        <v>688</v>
      </c>
      <c r="E146" s="83" t="s">
        <v>2487</v>
      </c>
      <c r="F146" s="83" t="s">
        <v>2871</v>
      </c>
      <c r="G146" s="83" t="s">
        <v>2268</v>
      </c>
      <c r="H146" s="83" t="s">
        <v>1201</v>
      </c>
      <c r="I146" s="83" t="s">
        <v>1202</v>
      </c>
      <c r="J146" s="83" t="s">
        <v>1203</v>
      </c>
      <c r="K146" s="83" t="s">
        <v>565</v>
      </c>
      <c r="L146" s="83" t="s">
        <v>398</v>
      </c>
      <c r="M146" s="83" t="s">
        <v>399</v>
      </c>
      <c r="N146" s="83" t="s">
        <v>2690</v>
      </c>
      <c r="O146" s="83" t="s">
        <v>106</v>
      </c>
      <c r="P146" s="83">
        <v>4</v>
      </c>
      <c r="Q146" s="83" t="s">
        <v>106</v>
      </c>
      <c r="R146" s="83" t="s">
        <v>2727</v>
      </c>
      <c r="S146" s="83" t="s">
        <v>2712</v>
      </c>
      <c r="T146" s="83" t="s">
        <v>2843</v>
      </c>
      <c r="U146" s="83" t="s">
        <v>401</v>
      </c>
      <c r="AC146" s="83" t="s">
        <v>401</v>
      </c>
      <c r="AD146" s="83">
        <v>44000</v>
      </c>
      <c r="AF146" s="83">
        <v>22000</v>
      </c>
      <c r="AJ146" s="83">
        <v>1</v>
      </c>
      <c r="AK146" s="83">
        <v>1</v>
      </c>
      <c r="AL146" s="83">
        <v>840</v>
      </c>
      <c r="AM146" s="83" t="s">
        <v>2693</v>
      </c>
      <c r="BK146" s="83" t="s">
        <v>2694</v>
      </c>
      <c r="BL146" s="83" t="s">
        <v>2704</v>
      </c>
      <c r="BM146" s="83" t="s">
        <v>2698</v>
      </c>
      <c r="BN146" s="83" t="s">
        <v>2698</v>
      </c>
      <c r="BO146" s="83" t="s">
        <v>2697</v>
      </c>
      <c r="BP146" s="83" t="s">
        <v>2698</v>
      </c>
      <c r="BQ146" s="83" t="s">
        <v>2699</v>
      </c>
      <c r="BR146" s="83" t="s">
        <v>2693</v>
      </c>
      <c r="BS146" s="83" t="s">
        <v>2699</v>
      </c>
      <c r="BT146" s="83" t="s">
        <v>2696</v>
      </c>
      <c r="BU146" s="83" t="s">
        <v>2699</v>
      </c>
      <c r="BV146" s="83" t="s">
        <v>2696</v>
      </c>
      <c r="BW146" s="83" t="s">
        <v>2698</v>
      </c>
      <c r="BX146" s="83" t="s">
        <v>2696</v>
      </c>
      <c r="BY146" s="83" t="s">
        <v>2699</v>
      </c>
      <c r="BZ146" s="83" t="s">
        <v>2693</v>
      </c>
      <c r="CA146" s="83" t="s">
        <v>2693</v>
      </c>
      <c r="CB146" s="83" t="s">
        <v>2694</v>
      </c>
      <c r="CC146" s="83" t="s">
        <v>2699</v>
      </c>
      <c r="CD146" s="83" t="s">
        <v>2696</v>
      </c>
      <c r="CF146" s="83" t="s">
        <v>2872</v>
      </c>
      <c r="CG146" s="83" t="s">
        <v>2873</v>
      </c>
      <c r="CH146" s="83" t="s">
        <v>2693</v>
      </c>
      <c r="CI146" s="83" t="s">
        <v>3992</v>
      </c>
      <c r="CJ146" s="83" t="s">
        <v>2701</v>
      </c>
      <c r="CK146" s="144">
        <v>1</v>
      </c>
      <c r="CL146" s="99">
        <v>330000</v>
      </c>
    </row>
    <row r="147" spans="1:90">
      <c r="A147" s="83" t="s">
        <v>2486</v>
      </c>
      <c r="B147" s="83" t="s">
        <v>2870</v>
      </c>
      <c r="D147" s="83" t="s">
        <v>673</v>
      </c>
      <c r="E147" s="83" t="s">
        <v>2488</v>
      </c>
      <c r="F147" s="83" t="s">
        <v>2871</v>
      </c>
      <c r="G147" s="83" t="s">
        <v>2268</v>
      </c>
      <c r="H147" s="83" t="s">
        <v>1201</v>
      </c>
      <c r="I147" s="83" t="s">
        <v>1202</v>
      </c>
      <c r="J147" s="83" t="s">
        <v>1203</v>
      </c>
      <c r="K147" s="83" t="s">
        <v>565</v>
      </c>
      <c r="L147" s="83" t="s">
        <v>398</v>
      </c>
      <c r="M147" s="83" t="s">
        <v>399</v>
      </c>
      <c r="N147" s="83" t="s">
        <v>2690</v>
      </c>
      <c r="O147" s="83" t="s">
        <v>106</v>
      </c>
      <c r="P147" s="83">
        <v>4</v>
      </c>
      <c r="Q147" s="83" t="s">
        <v>106</v>
      </c>
      <c r="R147" s="83" t="s">
        <v>2727</v>
      </c>
      <c r="S147" s="83" t="s">
        <v>2712</v>
      </c>
      <c r="T147" s="83" t="s">
        <v>2843</v>
      </c>
      <c r="U147" s="83" t="s">
        <v>401</v>
      </c>
      <c r="AC147" s="83" t="s">
        <v>401</v>
      </c>
      <c r="AD147" s="83">
        <v>77000</v>
      </c>
      <c r="AF147" s="83">
        <v>30000</v>
      </c>
      <c r="AJ147" s="83">
        <v>1</v>
      </c>
      <c r="AK147" s="83">
        <v>1</v>
      </c>
      <c r="AL147" s="83">
        <v>1176</v>
      </c>
      <c r="AM147" s="83" t="s">
        <v>2693</v>
      </c>
      <c r="BK147" s="83" t="s">
        <v>2694</v>
      </c>
      <c r="BL147" s="83" t="s">
        <v>2704</v>
      </c>
      <c r="BM147" s="83" t="s">
        <v>2698</v>
      </c>
      <c r="BN147" s="83" t="s">
        <v>2698</v>
      </c>
      <c r="BO147" s="83" t="s">
        <v>2697</v>
      </c>
      <c r="BP147" s="83" t="s">
        <v>2698</v>
      </c>
      <c r="BQ147" s="83" t="s">
        <v>2699</v>
      </c>
      <c r="BR147" s="83" t="s">
        <v>2693</v>
      </c>
      <c r="BS147" s="83" t="s">
        <v>2699</v>
      </c>
      <c r="BT147" s="83" t="s">
        <v>2696</v>
      </c>
      <c r="BU147" s="83" t="s">
        <v>2699</v>
      </c>
      <c r="BV147" s="83" t="s">
        <v>2696</v>
      </c>
      <c r="BW147" s="83" t="s">
        <v>2698</v>
      </c>
      <c r="BX147" s="83" t="s">
        <v>2696</v>
      </c>
      <c r="BY147" s="83" t="s">
        <v>2699</v>
      </c>
      <c r="BZ147" s="83" t="s">
        <v>2693</v>
      </c>
      <c r="CA147" s="83" t="s">
        <v>2693</v>
      </c>
      <c r="CB147" s="83" t="s">
        <v>2694</v>
      </c>
      <c r="CC147" s="83" t="s">
        <v>2699</v>
      </c>
      <c r="CD147" s="83" t="s">
        <v>2696</v>
      </c>
      <c r="CF147" s="83" t="s">
        <v>2874</v>
      </c>
      <c r="CG147" s="83" t="s">
        <v>2875</v>
      </c>
      <c r="CH147" s="83" t="s">
        <v>2693</v>
      </c>
      <c r="CI147" s="83" t="s">
        <v>3992</v>
      </c>
      <c r="CJ147" s="83" t="s">
        <v>2701</v>
      </c>
      <c r="CK147" s="144">
        <v>0</v>
      </c>
      <c r="CL147"/>
    </row>
    <row r="148" spans="1:90">
      <c r="A148" s="83" t="s">
        <v>2486</v>
      </c>
      <c r="B148" s="83" t="s">
        <v>2870</v>
      </c>
      <c r="D148" s="83" t="s">
        <v>714</v>
      </c>
      <c r="E148" s="83" t="s">
        <v>2489</v>
      </c>
      <c r="F148" s="83" t="s">
        <v>2871</v>
      </c>
      <c r="G148" s="83" t="s">
        <v>2268</v>
      </c>
      <c r="H148" s="83" t="s">
        <v>1201</v>
      </c>
      <c r="I148" s="83" t="s">
        <v>1202</v>
      </c>
      <c r="J148" s="83" t="s">
        <v>1203</v>
      </c>
      <c r="K148" s="83" t="s">
        <v>565</v>
      </c>
      <c r="L148" s="83" t="s">
        <v>398</v>
      </c>
      <c r="M148" s="83" t="s">
        <v>399</v>
      </c>
      <c r="N148" s="83" t="s">
        <v>2690</v>
      </c>
      <c r="O148" s="83" t="s">
        <v>106</v>
      </c>
      <c r="P148" s="83">
        <v>4</v>
      </c>
      <c r="Q148" s="83" t="s">
        <v>106</v>
      </c>
      <c r="R148" s="83" t="s">
        <v>2727</v>
      </c>
      <c r="S148" s="83" t="s">
        <v>2712</v>
      </c>
      <c r="T148" s="83" t="s">
        <v>2843</v>
      </c>
      <c r="U148" s="83" t="s">
        <v>401</v>
      </c>
      <c r="AC148" s="83" t="s">
        <v>401</v>
      </c>
      <c r="AD148" s="83">
        <v>47000</v>
      </c>
      <c r="AF148" s="83">
        <v>11000</v>
      </c>
      <c r="AJ148" s="83">
        <v>1</v>
      </c>
      <c r="AK148" s="83">
        <v>1</v>
      </c>
      <c r="AL148" s="83">
        <v>816</v>
      </c>
      <c r="AM148" s="83" t="s">
        <v>2693</v>
      </c>
      <c r="BK148" s="83" t="s">
        <v>2694</v>
      </c>
      <c r="BL148" s="83" t="s">
        <v>2704</v>
      </c>
      <c r="BM148" s="83" t="s">
        <v>2698</v>
      </c>
      <c r="BN148" s="83" t="s">
        <v>2698</v>
      </c>
      <c r="BO148" s="83" t="s">
        <v>2697</v>
      </c>
      <c r="BP148" s="83" t="s">
        <v>2698</v>
      </c>
      <c r="BQ148" s="83" t="s">
        <v>2699</v>
      </c>
      <c r="BR148" s="83" t="s">
        <v>2693</v>
      </c>
      <c r="BS148" s="83" t="s">
        <v>2699</v>
      </c>
      <c r="BT148" s="83" t="s">
        <v>2696</v>
      </c>
      <c r="BU148" s="83" t="s">
        <v>2699</v>
      </c>
      <c r="BV148" s="83" t="s">
        <v>2696</v>
      </c>
      <c r="BW148" s="83" t="s">
        <v>2698</v>
      </c>
      <c r="BX148" s="83" t="s">
        <v>2696</v>
      </c>
      <c r="BY148" s="83" t="s">
        <v>2699</v>
      </c>
      <c r="BZ148" s="83" t="s">
        <v>2693</v>
      </c>
      <c r="CA148" s="83" t="s">
        <v>2693</v>
      </c>
      <c r="CB148" s="83" t="s">
        <v>2694</v>
      </c>
      <c r="CC148" s="83" t="s">
        <v>2699</v>
      </c>
      <c r="CD148" s="83" t="s">
        <v>2696</v>
      </c>
      <c r="CF148" s="83" t="s">
        <v>2876</v>
      </c>
      <c r="CG148" s="83" t="s">
        <v>2877</v>
      </c>
      <c r="CH148" s="83" t="s">
        <v>2693</v>
      </c>
      <c r="CI148" s="83" t="s">
        <v>3992</v>
      </c>
      <c r="CJ148" s="83" t="s">
        <v>2701</v>
      </c>
      <c r="CK148" s="144">
        <v>0</v>
      </c>
      <c r="CL148"/>
    </row>
    <row r="149" spans="1:90">
      <c r="A149" s="83" t="s">
        <v>2486</v>
      </c>
      <c r="B149" s="83" t="s">
        <v>2870</v>
      </c>
      <c r="D149" s="83" t="s">
        <v>716</v>
      </c>
      <c r="E149" s="83" t="s">
        <v>2490</v>
      </c>
      <c r="F149" s="83" t="s">
        <v>2871</v>
      </c>
      <c r="G149" s="83" t="s">
        <v>2268</v>
      </c>
      <c r="H149" s="83" t="s">
        <v>1201</v>
      </c>
      <c r="I149" s="83" t="s">
        <v>1202</v>
      </c>
      <c r="J149" s="83" t="s">
        <v>1203</v>
      </c>
      <c r="K149" s="83" t="s">
        <v>565</v>
      </c>
      <c r="L149" s="83" t="s">
        <v>398</v>
      </c>
      <c r="M149" s="83" t="s">
        <v>399</v>
      </c>
      <c r="N149" s="83" t="s">
        <v>2690</v>
      </c>
      <c r="O149" s="83" t="s">
        <v>106</v>
      </c>
      <c r="P149" s="83">
        <v>4</v>
      </c>
      <c r="Q149" s="83" t="s">
        <v>106</v>
      </c>
      <c r="R149" s="83" t="s">
        <v>2727</v>
      </c>
      <c r="S149" s="83" t="s">
        <v>2712</v>
      </c>
      <c r="T149" s="83" t="s">
        <v>2843</v>
      </c>
      <c r="U149" s="83" t="s">
        <v>401</v>
      </c>
      <c r="AC149" s="83" t="s">
        <v>401</v>
      </c>
      <c r="AD149" s="83">
        <v>33000</v>
      </c>
      <c r="AF149" s="83">
        <v>5000</v>
      </c>
      <c r="AJ149" s="83">
        <v>1</v>
      </c>
      <c r="AK149" s="83">
        <v>2</v>
      </c>
      <c r="AL149" s="83">
        <v>432</v>
      </c>
      <c r="AM149" s="83" t="s">
        <v>2693</v>
      </c>
      <c r="BK149" s="83" t="s">
        <v>2694</v>
      </c>
      <c r="BL149" s="83" t="s">
        <v>2704</v>
      </c>
      <c r="BM149" s="83" t="s">
        <v>2698</v>
      </c>
      <c r="BN149" s="83" t="s">
        <v>2698</v>
      </c>
      <c r="BO149" s="83" t="s">
        <v>2697</v>
      </c>
      <c r="BP149" s="83" t="s">
        <v>2698</v>
      </c>
      <c r="BQ149" s="83" t="s">
        <v>2699</v>
      </c>
      <c r="BR149" s="83" t="s">
        <v>2693</v>
      </c>
      <c r="BS149" s="83" t="s">
        <v>2699</v>
      </c>
      <c r="BT149" s="83" t="s">
        <v>2696</v>
      </c>
      <c r="BU149" s="83" t="s">
        <v>2699</v>
      </c>
      <c r="BV149" s="83" t="s">
        <v>2696</v>
      </c>
      <c r="BW149" s="83" t="s">
        <v>2698</v>
      </c>
      <c r="BX149" s="83" t="s">
        <v>2696</v>
      </c>
      <c r="BY149" s="83" t="s">
        <v>2699</v>
      </c>
      <c r="BZ149" s="83" t="s">
        <v>2693</v>
      </c>
      <c r="CA149" s="83" t="s">
        <v>2693</v>
      </c>
      <c r="CB149" s="83" t="s">
        <v>2694</v>
      </c>
      <c r="CC149" s="83" t="s">
        <v>2699</v>
      </c>
      <c r="CD149" s="83" t="s">
        <v>2696</v>
      </c>
      <c r="CF149" s="83" t="s">
        <v>2878</v>
      </c>
      <c r="CG149" s="83" t="s">
        <v>2879</v>
      </c>
      <c r="CH149" s="83" t="s">
        <v>2693</v>
      </c>
      <c r="CI149" s="83" t="s">
        <v>3992</v>
      </c>
      <c r="CJ149" s="83" t="s">
        <v>2701</v>
      </c>
      <c r="CK149" s="144">
        <v>0</v>
      </c>
      <c r="CL149"/>
    </row>
    <row r="150" spans="1:90">
      <c r="A150" s="83" t="s">
        <v>2486</v>
      </c>
      <c r="B150" s="83" t="s">
        <v>2870</v>
      </c>
      <c r="D150" s="83" t="s">
        <v>717</v>
      </c>
      <c r="E150" s="83" t="s">
        <v>894</v>
      </c>
      <c r="F150" s="83" t="s">
        <v>2871</v>
      </c>
      <c r="G150" s="83" t="s">
        <v>2268</v>
      </c>
      <c r="H150" s="83" t="s">
        <v>1201</v>
      </c>
      <c r="I150" s="83" t="s">
        <v>1202</v>
      </c>
      <c r="J150" s="83" t="s">
        <v>1203</v>
      </c>
      <c r="K150" s="83" t="s">
        <v>565</v>
      </c>
      <c r="L150" s="83" t="s">
        <v>398</v>
      </c>
      <c r="M150" s="83" t="s">
        <v>399</v>
      </c>
      <c r="N150" s="83" t="s">
        <v>2690</v>
      </c>
      <c r="O150" s="83" t="s">
        <v>106</v>
      </c>
      <c r="P150" s="83">
        <v>4</v>
      </c>
      <c r="Q150" s="83" t="s">
        <v>106</v>
      </c>
      <c r="R150" s="83" t="s">
        <v>2727</v>
      </c>
      <c r="S150" s="83" t="s">
        <v>2712</v>
      </c>
      <c r="T150" s="83" t="s">
        <v>2843</v>
      </c>
      <c r="U150" s="83" t="s">
        <v>401</v>
      </c>
      <c r="AC150" s="83" t="s">
        <v>401</v>
      </c>
      <c r="AD150" s="83">
        <v>64000</v>
      </c>
      <c r="AF150" s="83">
        <v>2000</v>
      </c>
      <c r="AJ150" s="83">
        <v>1</v>
      </c>
      <c r="AK150" s="83">
        <v>1</v>
      </c>
      <c r="AL150" s="83">
        <v>468</v>
      </c>
      <c r="AM150" s="83" t="s">
        <v>2693</v>
      </c>
      <c r="BK150" s="83" t="s">
        <v>2694</v>
      </c>
      <c r="BL150" s="83" t="s">
        <v>2704</v>
      </c>
      <c r="BM150" s="83" t="s">
        <v>2698</v>
      </c>
      <c r="BN150" s="83" t="s">
        <v>2698</v>
      </c>
      <c r="BO150" s="83" t="s">
        <v>2697</v>
      </c>
      <c r="BP150" s="83" t="s">
        <v>2698</v>
      </c>
      <c r="BQ150" s="83" t="s">
        <v>2699</v>
      </c>
      <c r="BR150" s="83" t="s">
        <v>2693</v>
      </c>
      <c r="BS150" s="83" t="s">
        <v>2699</v>
      </c>
      <c r="BT150" s="83" t="s">
        <v>2696</v>
      </c>
      <c r="BU150" s="83" t="s">
        <v>2699</v>
      </c>
      <c r="BV150" s="83" t="s">
        <v>2696</v>
      </c>
      <c r="BW150" s="83" t="s">
        <v>2698</v>
      </c>
      <c r="BX150" s="83" t="s">
        <v>2696</v>
      </c>
      <c r="BY150" s="83" t="s">
        <v>2699</v>
      </c>
      <c r="BZ150" s="83" t="s">
        <v>2693</v>
      </c>
      <c r="CA150" s="83" t="s">
        <v>2693</v>
      </c>
      <c r="CB150" s="83" t="s">
        <v>2694</v>
      </c>
      <c r="CC150" s="83" t="s">
        <v>2699</v>
      </c>
      <c r="CD150" s="83" t="s">
        <v>2696</v>
      </c>
      <c r="CF150" s="83" t="s">
        <v>2880</v>
      </c>
      <c r="CG150" s="83" t="s">
        <v>2881</v>
      </c>
      <c r="CH150" s="83" t="s">
        <v>2693</v>
      </c>
      <c r="CI150" s="83" t="s">
        <v>3992</v>
      </c>
      <c r="CJ150" s="83" t="s">
        <v>2701</v>
      </c>
      <c r="CK150" s="144">
        <v>0</v>
      </c>
      <c r="CL150"/>
    </row>
    <row r="151" spans="1:90">
      <c r="A151" s="83" t="s">
        <v>2486</v>
      </c>
      <c r="B151" s="83" t="s">
        <v>2870</v>
      </c>
      <c r="D151" s="83" t="s">
        <v>840</v>
      </c>
      <c r="E151" s="83" t="s">
        <v>2491</v>
      </c>
      <c r="F151" s="83" t="s">
        <v>2871</v>
      </c>
      <c r="G151" s="83" t="s">
        <v>2268</v>
      </c>
      <c r="H151" s="83" t="s">
        <v>1201</v>
      </c>
      <c r="I151" s="83" t="s">
        <v>1202</v>
      </c>
      <c r="J151" s="83" t="s">
        <v>1203</v>
      </c>
      <c r="K151" s="83" t="s">
        <v>565</v>
      </c>
      <c r="L151" s="83" t="s">
        <v>398</v>
      </c>
      <c r="M151" s="83" t="s">
        <v>399</v>
      </c>
      <c r="N151" s="83" t="s">
        <v>2690</v>
      </c>
      <c r="O151" s="83" t="s">
        <v>106</v>
      </c>
      <c r="P151" s="83">
        <v>4</v>
      </c>
      <c r="Q151" s="83" t="s">
        <v>106</v>
      </c>
      <c r="R151" s="83" t="s">
        <v>2727</v>
      </c>
      <c r="S151" s="83" t="s">
        <v>2712</v>
      </c>
      <c r="T151" s="83" t="s">
        <v>2843</v>
      </c>
      <c r="U151" s="83" t="s">
        <v>401</v>
      </c>
      <c r="AC151" s="83" t="s">
        <v>401</v>
      </c>
      <c r="AD151" s="83">
        <v>193000</v>
      </c>
      <c r="AF151" s="83">
        <v>25000</v>
      </c>
      <c r="AJ151" s="83">
        <v>1</v>
      </c>
      <c r="AK151" s="83">
        <v>2</v>
      </c>
      <c r="AL151" s="83">
        <v>3120</v>
      </c>
      <c r="AM151" s="83" t="s">
        <v>2693</v>
      </c>
      <c r="BK151" s="83" t="s">
        <v>2694</v>
      </c>
      <c r="BL151" s="83" t="s">
        <v>2704</v>
      </c>
      <c r="BM151" s="83" t="s">
        <v>2698</v>
      </c>
      <c r="BN151" s="83" t="s">
        <v>2698</v>
      </c>
      <c r="BO151" s="83" t="s">
        <v>2697</v>
      </c>
      <c r="BP151" s="83" t="s">
        <v>2698</v>
      </c>
      <c r="BQ151" s="83" t="s">
        <v>2699</v>
      </c>
      <c r="BR151" s="83" t="s">
        <v>2693</v>
      </c>
      <c r="BS151" s="83" t="s">
        <v>2699</v>
      </c>
      <c r="BT151" s="83" t="s">
        <v>2696</v>
      </c>
      <c r="BU151" s="83" t="s">
        <v>2699</v>
      </c>
      <c r="BV151" s="83" t="s">
        <v>2696</v>
      </c>
      <c r="BW151" s="83" t="s">
        <v>2698</v>
      </c>
      <c r="BX151" s="83" t="s">
        <v>2696</v>
      </c>
      <c r="BY151" s="83" t="s">
        <v>2699</v>
      </c>
      <c r="BZ151" s="83" t="s">
        <v>2693</v>
      </c>
      <c r="CA151" s="83" t="s">
        <v>2693</v>
      </c>
      <c r="CB151" s="83" t="s">
        <v>2694</v>
      </c>
      <c r="CC151" s="83" t="s">
        <v>2699</v>
      </c>
      <c r="CD151" s="83" t="s">
        <v>2696</v>
      </c>
      <c r="CF151" s="83" t="s">
        <v>2882</v>
      </c>
      <c r="CG151" s="83" t="s">
        <v>2883</v>
      </c>
      <c r="CH151" s="83" t="s">
        <v>2693</v>
      </c>
      <c r="CI151" s="83" t="s">
        <v>3992</v>
      </c>
      <c r="CJ151" s="83" t="s">
        <v>2701</v>
      </c>
      <c r="CK151" s="144">
        <v>1</v>
      </c>
      <c r="CL151"/>
    </row>
    <row r="152" spans="1:90">
      <c r="A152" s="83" t="s">
        <v>2574</v>
      </c>
      <c r="B152" s="83" t="s">
        <v>3068</v>
      </c>
      <c r="D152" s="83" t="s">
        <v>688</v>
      </c>
      <c r="E152" s="83" t="s">
        <v>2575</v>
      </c>
      <c r="F152" s="83" t="s">
        <v>3069</v>
      </c>
      <c r="G152" s="83" t="s">
        <v>1871</v>
      </c>
      <c r="H152" s="83" t="s">
        <v>1201</v>
      </c>
      <c r="I152" s="83" t="s">
        <v>1202</v>
      </c>
      <c r="J152" s="83" t="s">
        <v>1203</v>
      </c>
      <c r="K152" s="83" t="s">
        <v>565</v>
      </c>
      <c r="L152" s="83" t="s">
        <v>398</v>
      </c>
      <c r="M152" s="83" t="s">
        <v>399</v>
      </c>
      <c r="N152" s="83" t="s">
        <v>2711</v>
      </c>
      <c r="O152" s="83" t="s">
        <v>106</v>
      </c>
      <c r="P152" s="83">
        <v>4</v>
      </c>
      <c r="Q152" s="83" t="s">
        <v>106</v>
      </c>
      <c r="R152" s="83" t="s">
        <v>2727</v>
      </c>
      <c r="S152" s="83" t="s">
        <v>2714</v>
      </c>
      <c r="T152" s="83" t="s">
        <v>2843</v>
      </c>
      <c r="U152" s="83" t="s">
        <v>401</v>
      </c>
      <c r="AC152" s="83" t="s">
        <v>401</v>
      </c>
      <c r="AD152" s="83">
        <v>207000</v>
      </c>
      <c r="AF152" s="83">
        <v>10000</v>
      </c>
      <c r="AJ152" s="83">
        <v>1</v>
      </c>
      <c r="AK152" s="83">
        <v>2</v>
      </c>
      <c r="AL152" s="83">
        <v>2356</v>
      </c>
      <c r="AM152" s="83" t="s">
        <v>2693</v>
      </c>
      <c r="BK152" s="83" t="s">
        <v>2694</v>
      </c>
      <c r="BL152" s="83" t="s">
        <v>2704</v>
      </c>
      <c r="BM152" s="83" t="s">
        <v>2697</v>
      </c>
      <c r="BN152" s="83" t="s">
        <v>2698</v>
      </c>
      <c r="BO152" s="83" t="s">
        <v>2697</v>
      </c>
      <c r="BP152" s="83" t="s">
        <v>2698</v>
      </c>
      <c r="BQ152" s="83" t="s">
        <v>2699</v>
      </c>
      <c r="BR152" s="83" t="s">
        <v>2693</v>
      </c>
      <c r="BS152" s="83" t="s">
        <v>2699</v>
      </c>
      <c r="BT152" s="83" t="s">
        <v>2696</v>
      </c>
      <c r="BU152" s="83" t="s">
        <v>2699</v>
      </c>
      <c r="BV152" s="83" t="s">
        <v>2696</v>
      </c>
      <c r="BW152" s="83" t="s">
        <v>2698</v>
      </c>
      <c r="BX152" s="83" t="s">
        <v>2696</v>
      </c>
      <c r="BY152" s="83" t="s">
        <v>2699</v>
      </c>
      <c r="BZ152" s="83" t="s">
        <v>2693</v>
      </c>
      <c r="CA152" s="83" t="s">
        <v>2693</v>
      </c>
      <c r="CB152" s="83" t="s">
        <v>2694</v>
      </c>
      <c r="CC152" s="83" t="s">
        <v>2699</v>
      </c>
      <c r="CD152" s="83" t="s">
        <v>2696</v>
      </c>
      <c r="CF152" s="83" t="s">
        <v>3070</v>
      </c>
      <c r="CG152" s="83" t="s">
        <v>3071</v>
      </c>
      <c r="CH152" s="83" t="s">
        <v>2693</v>
      </c>
      <c r="CI152" s="83" t="s">
        <v>3992</v>
      </c>
      <c r="CJ152" s="83" t="s">
        <v>2701</v>
      </c>
      <c r="CK152" s="144">
        <v>1</v>
      </c>
      <c r="CL152" s="99">
        <v>540000</v>
      </c>
    </row>
    <row r="153" spans="1:90">
      <c r="A153" s="79" t="s">
        <v>2574</v>
      </c>
      <c r="B153" s="79" t="s">
        <v>3068</v>
      </c>
      <c r="C153" s="79"/>
      <c r="D153" s="79" t="s">
        <v>673</v>
      </c>
      <c r="E153" s="79" t="s">
        <v>3821</v>
      </c>
      <c r="F153" s="79">
        <v>6736</v>
      </c>
      <c r="G153" s="79" t="s">
        <v>1871</v>
      </c>
      <c r="H153" s="79" t="s">
        <v>1201</v>
      </c>
      <c r="I153" s="79" t="s">
        <v>1202</v>
      </c>
      <c r="J153" s="79" t="s">
        <v>1203</v>
      </c>
      <c r="K153" s="79" t="s">
        <v>565</v>
      </c>
      <c r="L153" s="79" t="s">
        <v>398</v>
      </c>
      <c r="M153" s="79" t="s">
        <v>399</v>
      </c>
      <c r="N153" s="79" t="s">
        <v>2711</v>
      </c>
      <c r="O153" s="79" t="s">
        <v>106</v>
      </c>
      <c r="P153" s="79">
        <v>4</v>
      </c>
      <c r="Q153" s="79" t="s">
        <v>106</v>
      </c>
      <c r="R153" s="79" t="s">
        <v>2691</v>
      </c>
      <c r="S153" s="90">
        <v>33238</v>
      </c>
      <c r="T153" s="79" t="s">
        <v>2703</v>
      </c>
      <c r="U153" s="79" t="s">
        <v>401</v>
      </c>
      <c r="AC153" s="79" t="s">
        <v>401</v>
      </c>
      <c r="AD153" s="79">
        <v>87000</v>
      </c>
      <c r="AE153" s="79"/>
      <c r="AF153" s="79">
        <v>2000</v>
      </c>
      <c r="AG153" s="79"/>
      <c r="AH153" s="79"/>
      <c r="AI153" s="79"/>
      <c r="AJ153" s="79">
        <v>1</v>
      </c>
      <c r="AK153" s="83">
        <v>1</v>
      </c>
      <c r="AL153" s="79">
        <v>630</v>
      </c>
      <c r="AM153" s="79" t="s">
        <v>2693</v>
      </c>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79"/>
      <c r="BJ153" s="79"/>
      <c r="BK153" s="79">
        <v>9</v>
      </c>
      <c r="BL153" s="79">
        <v>3</v>
      </c>
      <c r="BM153" s="79">
        <v>2</v>
      </c>
      <c r="BN153" s="79">
        <v>5</v>
      </c>
      <c r="BO153" s="79">
        <v>2</v>
      </c>
      <c r="BP153" s="79">
        <v>5</v>
      </c>
      <c r="BQ153" s="79">
        <v>1</v>
      </c>
      <c r="BR153" s="79">
        <v>2</v>
      </c>
      <c r="BS153" s="79">
        <v>1</v>
      </c>
      <c r="BT153" s="79">
        <v>0</v>
      </c>
      <c r="BU153" s="79">
        <v>1</v>
      </c>
      <c r="BV153" s="79">
        <v>0</v>
      </c>
      <c r="BW153" s="79">
        <v>5</v>
      </c>
      <c r="BX153" s="83">
        <v>0</v>
      </c>
      <c r="BY153" s="79">
        <v>1</v>
      </c>
      <c r="BZ153" s="79">
        <v>0</v>
      </c>
      <c r="CA153" s="79">
        <v>1</v>
      </c>
      <c r="CB153" s="79">
        <v>9</v>
      </c>
      <c r="CC153" s="79">
        <v>2</v>
      </c>
      <c r="CD153" s="83" t="s">
        <v>2696</v>
      </c>
      <c r="CE153" s="79"/>
      <c r="CF153" s="79" t="s">
        <v>3891</v>
      </c>
      <c r="CG153" s="79" t="s">
        <v>3892</v>
      </c>
      <c r="CH153" s="79" t="s">
        <v>2693</v>
      </c>
      <c r="CI153" s="83" t="s">
        <v>3992</v>
      </c>
      <c r="CJ153" s="83" t="s">
        <v>2701</v>
      </c>
      <c r="CK153" s="145"/>
      <c r="CL153"/>
    </row>
    <row r="154" spans="1:90">
      <c r="A154" s="83" t="s">
        <v>2504</v>
      </c>
      <c r="B154" s="83" t="s">
        <v>727</v>
      </c>
      <c r="D154" s="83" t="s">
        <v>688</v>
      </c>
      <c r="E154" s="83" t="s">
        <v>2505</v>
      </c>
      <c r="F154" s="83" t="s">
        <v>2927</v>
      </c>
      <c r="G154" s="83" t="s">
        <v>2274</v>
      </c>
      <c r="H154" s="83" t="s">
        <v>1201</v>
      </c>
      <c r="I154" s="83" t="s">
        <v>1202</v>
      </c>
      <c r="J154" s="83" t="s">
        <v>1203</v>
      </c>
      <c r="K154" s="83" t="s">
        <v>565</v>
      </c>
      <c r="L154" s="83" t="s">
        <v>398</v>
      </c>
      <c r="M154" s="83" t="s">
        <v>399</v>
      </c>
      <c r="N154" s="83" t="s">
        <v>2899</v>
      </c>
      <c r="O154" s="83" t="s">
        <v>106</v>
      </c>
      <c r="P154" s="83">
        <v>4</v>
      </c>
      <c r="Q154" s="83" t="s">
        <v>106</v>
      </c>
      <c r="R154" s="83" t="s">
        <v>2691</v>
      </c>
      <c r="S154" s="83" t="s">
        <v>2928</v>
      </c>
      <c r="T154" s="83" t="s">
        <v>2843</v>
      </c>
      <c r="U154" s="83" t="s">
        <v>401</v>
      </c>
      <c r="AC154" s="83" t="s">
        <v>401</v>
      </c>
      <c r="AD154" s="83">
        <v>472000</v>
      </c>
      <c r="AF154" s="83">
        <v>41000</v>
      </c>
      <c r="AJ154" s="83">
        <v>1</v>
      </c>
      <c r="AK154" s="83">
        <v>1</v>
      </c>
      <c r="AL154" s="83">
        <v>4106</v>
      </c>
      <c r="AM154" s="83" t="s">
        <v>2693</v>
      </c>
      <c r="BK154" s="83" t="s">
        <v>2694</v>
      </c>
      <c r="BL154" s="83" t="s">
        <v>2704</v>
      </c>
      <c r="BM154" s="83" t="s">
        <v>2698</v>
      </c>
      <c r="BN154" s="83" t="s">
        <v>2698</v>
      </c>
      <c r="BO154" s="83" t="s">
        <v>2697</v>
      </c>
      <c r="BP154" s="83" t="s">
        <v>2698</v>
      </c>
      <c r="BQ154" s="83" t="s">
        <v>2699</v>
      </c>
      <c r="BR154" s="83" t="s">
        <v>2693</v>
      </c>
      <c r="BS154" s="83" t="s">
        <v>2699</v>
      </c>
      <c r="BT154" s="83" t="s">
        <v>2696</v>
      </c>
      <c r="BU154" s="83" t="s">
        <v>2699</v>
      </c>
      <c r="BV154" s="83" t="s">
        <v>2696</v>
      </c>
      <c r="BW154" s="83" t="s">
        <v>2698</v>
      </c>
      <c r="BX154" s="83" t="s">
        <v>2696</v>
      </c>
      <c r="BY154" s="83" t="s">
        <v>2699</v>
      </c>
      <c r="BZ154" s="83" t="s">
        <v>2693</v>
      </c>
      <c r="CA154" s="83" t="s">
        <v>2693</v>
      </c>
      <c r="CB154" s="83" t="s">
        <v>2694</v>
      </c>
      <c r="CC154" s="83" t="s">
        <v>2699</v>
      </c>
      <c r="CD154" s="83" t="s">
        <v>2696</v>
      </c>
      <c r="CF154" s="83" t="s">
        <v>2929</v>
      </c>
      <c r="CG154" s="83" t="s">
        <v>2930</v>
      </c>
      <c r="CH154" s="83" t="s">
        <v>2693</v>
      </c>
      <c r="CI154" s="83" t="s">
        <v>3992</v>
      </c>
      <c r="CJ154" s="83" t="s">
        <v>2701</v>
      </c>
      <c r="CK154" s="144">
        <v>0</v>
      </c>
      <c r="CL154" s="99">
        <v>50000</v>
      </c>
    </row>
    <row r="155" spans="1:90">
      <c r="A155" s="83" t="s">
        <v>2561</v>
      </c>
      <c r="B155" s="83" t="s">
        <v>2562</v>
      </c>
      <c r="D155" s="83" t="s">
        <v>688</v>
      </c>
      <c r="E155" s="83" t="s">
        <v>2562</v>
      </c>
      <c r="F155" s="83" t="s">
        <v>3037</v>
      </c>
      <c r="G155" s="83" t="s">
        <v>2292</v>
      </c>
      <c r="H155" s="83" t="s">
        <v>1201</v>
      </c>
      <c r="I155" s="83" t="s">
        <v>1202</v>
      </c>
      <c r="J155" s="83" t="s">
        <v>1203</v>
      </c>
      <c r="K155" s="83" t="s">
        <v>565</v>
      </c>
      <c r="L155" s="83" t="s">
        <v>398</v>
      </c>
      <c r="M155" s="83" t="s">
        <v>399</v>
      </c>
      <c r="N155" s="83" t="s">
        <v>3001</v>
      </c>
      <c r="O155" s="83" t="s">
        <v>106</v>
      </c>
      <c r="P155" s="83">
        <v>4</v>
      </c>
      <c r="Q155" s="83" t="s">
        <v>106</v>
      </c>
      <c r="R155" s="83" t="s">
        <v>2727</v>
      </c>
      <c r="S155" s="83" t="s">
        <v>2712</v>
      </c>
      <c r="T155" s="83" t="s">
        <v>2843</v>
      </c>
      <c r="U155" s="83" t="s">
        <v>401</v>
      </c>
      <c r="AC155" s="83" t="s">
        <v>401</v>
      </c>
      <c r="AD155" s="83">
        <v>30000</v>
      </c>
      <c r="AF155" s="83">
        <v>12000</v>
      </c>
      <c r="AJ155" s="83">
        <v>1</v>
      </c>
      <c r="AK155" s="83">
        <v>1</v>
      </c>
      <c r="AL155" s="83">
        <v>480</v>
      </c>
      <c r="AM155" s="83" t="s">
        <v>2693</v>
      </c>
      <c r="BK155" s="83" t="s">
        <v>2694</v>
      </c>
      <c r="BL155" s="83" t="s">
        <v>2704</v>
      </c>
      <c r="BM155" s="83" t="s">
        <v>2697</v>
      </c>
      <c r="BN155" s="83" t="s">
        <v>2698</v>
      </c>
      <c r="BO155" s="83" t="s">
        <v>2697</v>
      </c>
      <c r="BP155" s="83" t="s">
        <v>2698</v>
      </c>
      <c r="BQ155" s="83" t="s">
        <v>2699</v>
      </c>
      <c r="BR155" s="83" t="s">
        <v>2693</v>
      </c>
      <c r="BS155" s="83" t="s">
        <v>2699</v>
      </c>
      <c r="BT155" s="83" t="s">
        <v>2696</v>
      </c>
      <c r="BU155" s="83" t="s">
        <v>2699</v>
      </c>
      <c r="BV155" s="83" t="s">
        <v>2696</v>
      </c>
      <c r="BW155" s="83" t="s">
        <v>2698</v>
      </c>
      <c r="BX155" s="83" t="s">
        <v>2696</v>
      </c>
      <c r="BY155" s="83" t="s">
        <v>2699</v>
      </c>
      <c r="BZ155" s="83" t="s">
        <v>2693</v>
      </c>
      <c r="CA155" s="83" t="s">
        <v>2693</v>
      </c>
      <c r="CB155" s="83" t="s">
        <v>2694</v>
      </c>
      <c r="CC155" s="83" t="s">
        <v>2699</v>
      </c>
      <c r="CD155" s="83" t="s">
        <v>2696</v>
      </c>
      <c r="CF155" s="83" t="s">
        <v>3038</v>
      </c>
      <c r="CG155" s="83" t="s">
        <v>3039</v>
      </c>
      <c r="CH155" s="83" t="s">
        <v>2693</v>
      </c>
      <c r="CI155" s="83" t="s">
        <v>3992</v>
      </c>
      <c r="CJ155" s="83" t="s">
        <v>2701</v>
      </c>
      <c r="CK155" s="144">
        <v>1</v>
      </c>
      <c r="CL155" s="99">
        <v>2000</v>
      </c>
    </row>
    <row r="156" spans="1:90">
      <c r="A156" s="83" t="s">
        <v>1509</v>
      </c>
      <c r="B156" s="83" t="s">
        <v>674</v>
      </c>
      <c r="D156" s="83" t="s">
        <v>688</v>
      </c>
      <c r="E156" s="83" t="s">
        <v>674</v>
      </c>
      <c r="F156" s="83" t="s">
        <v>1723</v>
      </c>
      <c r="G156" s="83" t="s">
        <v>1173</v>
      </c>
      <c r="H156" s="83" t="s">
        <v>1201</v>
      </c>
      <c r="I156" s="83" t="s">
        <v>1202</v>
      </c>
      <c r="J156" s="83" t="s">
        <v>1203</v>
      </c>
      <c r="K156" s="83" t="s">
        <v>565</v>
      </c>
      <c r="L156" s="83" t="s">
        <v>398</v>
      </c>
      <c r="M156" s="83" t="s">
        <v>399</v>
      </c>
      <c r="N156" s="83" t="s">
        <v>2743</v>
      </c>
      <c r="O156" s="83" t="s">
        <v>106</v>
      </c>
      <c r="P156" s="83">
        <v>4</v>
      </c>
      <c r="Q156" s="83" t="s">
        <v>106</v>
      </c>
      <c r="R156" s="83" t="s">
        <v>2727</v>
      </c>
      <c r="S156" s="83" t="s">
        <v>2706</v>
      </c>
      <c r="T156" s="83" t="s">
        <v>2703</v>
      </c>
      <c r="U156" s="83" t="s">
        <v>401</v>
      </c>
      <c r="AC156" s="83" t="s">
        <v>401</v>
      </c>
      <c r="AD156" s="83">
        <v>31000</v>
      </c>
      <c r="AF156" s="83">
        <v>0</v>
      </c>
      <c r="AJ156" s="83">
        <v>1</v>
      </c>
      <c r="AK156" s="83">
        <v>1</v>
      </c>
      <c r="AL156" s="83">
        <v>504</v>
      </c>
      <c r="AM156" s="83" t="s">
        <v>2693</v>
      </c>
      <c r="BK156" s="83" t="s">
        <v>2694</v>
      </c>
      <c r="BL156" s="83" t="s">
        <v>2704</v>
      </c>
      <c r="BM156" s="83" t="s">
        <v>2698</v>
      </c>
      <c r="BN156" s="83" t="s">
        <v>2699</v>
      </c>
      <c r="BO156" s="83" t="s">
        <v>2697</v>
      </c>
      <c r="BP156" s="83" t="s">
        <v>2698</v>
      </c>
      <c r="BQ156" s="83" t="s">
        <v>2693</v>
      </c>
      <c r="BR156" s="83" t="s">
        <v>2693</v>
      </c>
      <c r="BS156" s="83" t="s">
        <v>2699</v>
      </c>
      <c r="BT156" s="83">
        <v>0</v>
      </c>
      <c r="BU156" s="83" t="s">
        <v>2699</v>
      </c>
      <c r="BV156" s="83" t="s">
        <v>2696</v>
      </c>
      <c r="BW156" s="83" t="s">
        <v>2698</v>
      </c>
      <c r="BX156" s="83" t="s">
        <v>2696</v>
      </c>
      <c r="BY156" s="83" t="s">
        <v>2699</v>
      </c>
      <c r="BZ156" s="83" t="s">
        <v>2693</v>
      </c>
      <c r="CA156" s="83" t="s">
        <v>2693</v>
      </c>
      <c r="CB156" s="83">
        <v>9</v>
      </c>
      <c r="CC156" s="83" t="s">
        <v>2699</v>
      </c>
      <c r="CD156" s="83" t="s">
        <v>2696</v>
      </c>
      <c r="CF156" s="83" t="s">
        <v>2021</v>
      </c>
      <c r="CG156" s="83" t="s">
        <v>2022</v>
      </c>
      <c r="CH156" s="83" t="s">
        <v>2693</v>
      </c>
      <c r="CI156" s="83" t="s">
        <v>3992</v>
      </c>
      <c r="CJ156" s="83" t="s">
        <v>2701</v>
      </c>
      <c r="CK156" s="144">
        <v>0</v>
      </c>
      <c r="CL156" s="99">
        <v>1000</v>
      </c>
    </row>
    <row r="157" spans="1:90">
      <c r="A157" s="79" t="s">
        <v>3750</v>
      </c>
      <c r="B157" s="79" t="s">
        <v>3796</v>
      </c>
      <c r="C157" s="79"/>
      <c r="D157" s="79" t="s">
        <v>688</v>
      </c>
      <c r="E157" s="79" t="s">
        <v>3796</v>
      </c>
      <c r="F157" s="79">
        <v>3688</v>
      </c>
      <c r="G157" s="79" t="s">
        <v>3855</v>
      </c>
      <c r="H157" s="79" t="s">
        <v>1201</v>
      </c>
      <c r="I157" s="79" t="s">
        <v>1202</v>
      </c>
      <c r="J157" s="79" t="s">
        <v>1203</v>
      </c>
      <c r="K157" s="79" t="s">
        <v>565</v>
      </c>
      <c r="L157" s="79" t="s">
        <v>398</v>
      </c>
      <c r="M157" s="79" t="s">
        <v>399</v>
      </c>
      <c r="N157" s="79" t="s">
        <v>2690</v>
      </c>
      <c r="O157" s="79" t="s">
        <v>106</v>
      </c>
      <c r="P157" s="79">
        <v>1</v>
      </c>
      <c r="Q157" s="79" t="s">
        <v>106</v>
      </c>
      <c r="R157" s="79" t="s">
        <v>2691</v>
      </c>
      <c r="S157" s="90">
        <v>14976</v>
      </c>
      <c r="T157" s="79" t="s">
        <v>2703</v>
      </c>
      <c r="U157" s="79" t="s">
        <v>401</v>
      </c>
      <c r="AC157" s="79" t="s">
        <v>401</v>
      </c>
      <c r="AD157" s="79">
        <v>81000</v>
      </c>
      <c r="AE157" s="79"/>
      <c r="AF157" s="79">
        <v>11000</v>
      </c>
      <c r="AG157" s="79"/>
      <c r="AH157" s="79"/>
      <c r="AI157" s="79"/>
      <c r="AJ157" s="79">
        <v>1</v>
      </c>
      <c r="AK157" s="83">
        <v>1</v>
      </c>
      <c r="AL157" s="79">
        <v>880</v>
      </c>
      <c r="AM157" s="79" t="s">
        <v>2693</v>
      </c>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79"/>
      <c r="BJ157" s="79"/>
      <c r="BK157" s="79">
        <v>9</v>
      </c>
      <c r="BL157" s="79">
        <v>7</v>
      </c>
      <c r="BM157" s="79">
        <v>5</v>
      </c>
      <c r="BN157" s="79">
        <v>5</v>
      </c>
      <c r="BO157" s="79">
        <v>2</v>
      </c>
      <c r="BP157" s="79">
        <v>5</v>
      </c>
      <c r="BQ157" s="79">
        <v>1</v>
      </c>
      <c r="BR157" s="79">
        <v>2</v>
      </c>
      <c r="BS157" s="79">
        <v>1</v>
      </c>
      <c r="BT157" s="79">
        <v>0</v>
      </c>
      <c r="BU157" s="79">
        <v>1</v>
      </c>
      <c r="BV157" s="79">
        <v>0</v>
      </c>
      <c r="BW157" s="79">
        <v>3</v>
      </c>
      <c r="BX157" s="83">
        <v>0</v>
      </c>
      <c r="BY157" s="79">
        <v>1</v>
      </c>
      <c r="BZ157" s="79">
        <v>0</v>
      </c>
      <c r="CA157" s="79">
        <v>1</v>
      </c>
      <c r="CB157" s="79">
        <v>9</v>
      </c>
      <c r="CC157" s="79">
        <v>2</v>
      </c>
      <c r="CD157" s="83" t="s">
        <v>2696</v>
      </c>
      <c r="CE157" s="79"/>
      <c r="CF157" s="79" t="s">
        <v>3893</v>
      </c>
      <c r="CG157" s="79" t="s">
        <v>3894</v>
      </c>
      <c r="CH157" s="79" t="s">
        <v>2699</v>
      </c>
      <c r="CI157" s="79">
        <v>1</v>
      </c>
      <c r="CJ157" s="83" t="s">
        <v>2734</v>
      </c>
      <c r="CK157" s="144">
        <v>0</v>
      </c>
      <c r="CL157"/>
    </row>
    <row r="158" spans="1:90">
      <c r="A158" s="83" t="s">
        <v>2678</v>
      </c>
      <c r="B158" s="83" t="s">
        <v>4130</v>
      </c>
      <c r="D158" s="83" t="s">
        <v>688</v>
      </c>
      <c r="E158" s="83" t="s">
        <v>4131</v>
      </c>
      <c r="F158" s="83" t="s">
        <v>1707</v>
      </c>
      <c r="G158" s="83" t="s">
        <v>2462</v>
      </c>
      <c r="H158" s="83" t="s">
        <v>1201</v>
      </c>
      <c r="I158" s="83" t="s">
        <v>1202</v>
      </c>
      <c r="J158" s="83" t="s">
        <v>1203</v>
      </c>
      <c r="K158" s="83" t="s">
        <v>565</v>
      </c>
      <c r="L158" s="83" t="s">
        <v>398</v>
      </c>
      <c r="M158" s="83" t="s">
        <v>399</v>
      </c>
      <c r="N158" s="83" t="s">
        <v>3699</v>
      </c>
      <c r="O158" s="83" t="s">
        <v>106</v>
      </c>
      <c r="P158" s="83">
        <v>1</v>
      </c>
      <c r="Q158" s="83" t="s">
        <v>106</v>
      </c>
      <c r="R158" s="83" t="s">
        <v>2730</v>
      </c>
      <c r="S158" s="83" t="s">
        <v>1446</v>
      </c>
      <c r="T158" s="83" t="s">
        <v>2703</v>
      </c>
      <c r="U158" s="83" t="s">
        <v>401</v>
      </c>
      <c r="AC158" s="83" t="s">
        <v>401</v>
      </c>
      <c r="AD158" s="83">
        <v>130000</v>
      </c>
      <c r="AF158" s="83">
        <v>26000</v>
      </c>
      <c r="AJ158" s="83">
        <v>1</v>
      </c>
      <c r="AK158" s="83">
        <v>1</v>
      </c>
      <c r="AL158" s="83">
        <v>1667</v>
      </c>
      <c r="AM158" s="83" t="s">
        <v>2693</v>
      </c>
      <c r="BK158" s="83" t="s">
        <v>2694</v>
      </c>
      <c r="BL158" s="83" t="s">
        <v>2704</v>
      </c>
      <c r="BM158" s="83" t="s">
        <v>2697</v>
      </c>
      <c r="BN158" s="83" t="s">
        <v>2696</v>
      </c>
      <c r="BO158" s="83" t="s">
        <v>2697</v>
      </c>
      <c r="BP158" s="83" t="s">
        <v>2698</v>
      </c>
      <c r="BQ158" s="83" t="s">
        <v>2699</v>
      </c>
      <c r="BR158" s="83" t="s">
        <v>2693</v>
      </c>
      <c r="BS158" s="83" t="s">
        <v>2699</v>
      </c>
      <c r="BT158" s="83" t="s">
        <v>2696</v>
      </c>
      <c r="BU158" s="83">
        <v>1</v>
      </c>
      <c r="BV158" s="83" t="s">
        <v>2696</v>
      </c>
      <c r="BW158" s="83" t="s">
        <v>2698</v>
      </c>
      <c r="BX158" s="83" t="s">
        <v>2696</v>
      </c>
      <c r="BY158" s="83" t="s">
        <v>2699</v>
      </c>
      <c r="BZ158" s="83" t="s">
        <v>2699</v>
      </c>
      <c r="CA158" s="83" t="s">
        <v>2693</v>
      </c>
      <c r="CB158" s="83">
        <v>9</v>
      </c>
      <c r="CC158" s="83" t="s">
        <v>2699</v>
      </c>
      <c r="CD158" s="83" t="s">
        <v>2696</v>
      </c>
      <c r="CF158" s="83" t="s">
        <v>2469</v>
      </c>
      <c r="CG158" s="83" t="s">
        <v>2470</v>
      </c>
      <c r="CH158" s="83" t="s">
        <v>2699</v>
      </c>
      <c r="CI158" s="83" t="s">
        <v>2699</v>
      </c>
      <c r="CJ158" s="83" t="s">
        <v>2734</v>
      </c>
      <c r="CK158" s="144">
        <v>0</v>
      </c>
      <c r="CL158" s="99">
        <v>1127000</v>
      </c>
    </row>
    <row r="159" spans="1:90">
      <c r="A159" s="83" t="s">
        <v>1546</v>
      </c>
      <c r="B159" s="83" t="s">
        <v>1627</v>
      </c>
      <c r="D159" s="83" t="s">
        <v>688</v>
      </c>
      <c r="E159" s="83" t="s">
        <v>2491</v>
      </c>
      <c r="F159" s="83" t="s">
        <v>1724</v>
      </c>
      <c r="G159" s="83" t="s">
        <v>1846</v>
      </c>
      <c r="H159" s="83" t="s">
        <v>1201</v>
      </c>
      <c r="I159" s="83" t="s">
        <v>1202</v>
      </c>
      <c r="J159" s="83" t="s">
        <v>1203</v>
      </c>
      <c r="K159" s="83" t="s">
        <v>565</v>
      </c>
      <c r="L159" s="83" t="s">
        <v>398</v>
      </c>
      <c r="M159" s="83" t="s">
        <v>399</v>
      </c>
      <c r="N159" s="83" t="s">
        <v>2690</v>
      </c>
      <c r="O159" s="83" t="s">
        <v>106</v>
      </c>
      <c r="P159" s="83">
        <v>4</v>
      </c>
      <c r="Q159" s="83" t="s">
        <v>106</v>
      </c>
      <c r="R159" s="83" t="s">
        <v>2691</v>
      </c>
      <c r="S159" s="83" t="s">
        <v>1456</v>
      </c>
      <c r="T159" s="83" t="s">
        <v>2703</v>
      </c>
      <c r="U159" s="83" t="s">
        <v>401</v>
      </c>
      <c r="AC159" s="83" t="s">
        <v>401</v>
      </c>
      <c r="AD159" s="83">
        <v>27000</v>
      </c>
      <c r="AF159" s="83">
        <v>0</v>
      </c>
      <c r="AJ159" s="83">
        <v>1</v>
      </c>
      <c r="AK159" s="83">
        <v>1</v>
      </c>
      <c r="AL159" s="83">
        <v>560</v>
      </c>
      <c r="AM159" s="83" t="s">
        <v>2693</v>
      </c>
      <c r="BK159" s="83" t="s">
        <v>2694</v>
      </c>
      <c r="BL159" s="83" t="s">
        <v>2704</v>
      </c>
      <c r="BM159" s="83" t="s">
        <v>2698</v>
      </c>
      <c r="BN159" s="83" t="s">
        <v>2699</v>
      </c>
      <c r="BO159" s="83" t="s">
        <v>2697</v>
      </c>
      <c r="BP159" s="83" t="s">
        <v>2698</v>
      </c>
      <c r="BQ159" s="83" t="s">
        <v>2693</v>
      </c>
      <c r="BR159" s="83" t="s">
        <v>2693</v>
      </c>
      <c r="BS159" s="83" t="s">
        <v>2699</v>
      </c>
      <c r="BT159" s="83">
        <v>0</v>
      </c>
      <c r="BU159" s="83" t="s">
        <v>2699</v>
      </c>
      <c r="BV159" s="83" t="s">
        <v>2696</v>
      </c>
      <c r="BW159" s="83" t="s">
        <v>2698</v>
      </c>
      <c r="BX159" s="83" t="s">
        <v>2693</v>
      </c>
      <c r="BY159" s="83" t="s">
        <v>2699</v>
      </c>
      <c r="BZ159" s="83" t="s">
        <v>2699</v>
      </c>
      <c r="CA159" s="83" t="s">
        <v>2693</v>
      </c>
      <c r="CB159" s="83">
        <v>9</v>
      </c>
      <c r="CC159" s="83" t="s">
        <v>2699</v>
      </c>
      <c r="CD159" s="83" t="s">
        <v>2696</v>
      </c>
      <c r="CF159" s="83" t="s">
        <v>2102</v>
      </c>
      <c r="CG159" s="83" t="s">
        <v>2103</v>
      </c>
      <c r="CH159" s="83" t="s">
        <v>2693</v>
      </c>
      <c r="CI159" s="83" t="s">
        <v>3992</v>
      </c>
      <c r="CJ159" s="83" t="s">
        <v>2701</v>
      </c>
      <c r="CK159" s="144">
        <v>0</v>
      </c>
      <c r="CL159" s="99">
        <v>333000</v>
      </c>
    </row>
    <row r="160" spans="1:90">
      <c r="A160" s="83" t="s">
        <v>1546</v>
      </c>
      <c r="B160" s="83" t="s">
        <v>1627</v>
      </c>
      <c r="D160" s="83" t="s">
        <v>673</v>
      </c>
      <c r="E160" s="83" t="s">
        <v>2548</v>
      </c>
      <c r="F160" s="83" t="s">
        <v>1724</v>
      </c>
      <c r="G160" s="83" t="s">
        <v>1846</v>
      </c>
      <c r="H160" s="83" t="s">
        <v>1201</v>
      </c>
      <c r="I160" s="83" t="s">
        <v>1202</v>
      </c>
      <c r="J160" s="83" t="s">
        <v>1203</v>
      </c>
      <c r="K160" s="83" t="s">
        <v>565</v>
      </c>
      <c r="L160" s="83" t="s">
        <v>398</v>
      </c>
      <c r="M160" s="83" t="s">
        <v>399</v>
      </c>
      <c r="N160" s="83" t="s">
        <v>2690</v>
      </c>
      <c r="O160" s="83" t="s">
        <v>106</v>
      </c>
      <c r="P160" s="83">
        <v>4</v>
      </c>
      <c r="Q160" s="83" t="s">
        <v>106</v>
      </c>
      <c r="R160" s="83" t="s">
        <v>2691</v>
      </c>
      <c r="S160" s="83" t="s">
        <v>1446</v>
      </c>
      <c r="T160" s="83" t="s">
        <v>2703</v>
      </c>
      <c r="U160" s="83" t="s">
        <v>401</v>
      </c>
      <c r="AC160" s="83" t="s">
        <v>401</v>
      </c>
      <c r="AD160" s="83">
        <v>133000</v>
      </c>
      <c r="AF160" s="83">
        <v>11000</v>
      </c>
      <c r="AJ160" s="83">
        <v>1</v>
      </c>
      <c r="AK160" s="83">
        <v>1</v>
      </c>
      <c r="AL160" s="83">
        <v>1400</v>
      </c>
      <c r="AM160" s="83" t="s">
        <v>2693</v>
      </c>
      <c r="BK160" s="83" t="s">
        <v>2694</v>
      </c>
      <c r="BL160" s="83" t="s">
        <v>2704</v>
      </c>
      <c r="BM160" s="83" t="s">
        <v>2693</v>
      </c>
      <c r="BN160" s="83" t="s">
        <v>2696</v>
      </c>
      <c r="BO160" s="83" t="s">
        <v>2697</v>
      </c>
      <c r="BP160" s="83" t="s">
        <v>2698</v>
      </c>
      <c r="BQ160" s="83" t="s">
        <v>2693</v>
      </c>
      <c r="BR160" s="83" t="s">
        <v>2693</v>
      </c>
      <c r="BS160" s="83" t="s">
        <v>2699</v>
      </c>
      <c r="BT160" s="83">
        <v>0</v>
      </c>
      <c r="BU160" s="83" t="s">
        <v>2699</v>
      </c>
      <c r="BV160" s="83" t="s">
        <v>2696</v>
      </c>
      <c r="BW160" s="83" t="s">
        <v>2698</v>
      </c>
      <c r="BX160" s="83" t="s">
        <v>2696</v>
      </c>
      <c r="BY160" s="83" t="s">
        <v>2699</v>
      </c>
      <c r="BZ160" s="83" t="s">
        <v>2699</v>
      </c>
      <c r="CA160" s="83" t="s">
        <v>2693</v>
      </c>
      <c r="CB160" s="83">
        <v>9</v>
      </c>
      <c r="CC160" s="83" t="s">
        <v>2699</v>
      </c>
      <c r="CD160" s="83" t="s">
        <v>2696</v>
      </c>
      <c r="CF160" s="83" t="s">
        <v>2104</v>
      </c>
      <c r="CG160" s="83" t="s">
        <v>2105</v>
      </c>
      <c r="CH160" s="83" t="s">
        <v>2693</v>
      </c>
      <c r="CI160" s="83" t="s">
        <v>3992</v>
      </c>
      <c r="CJ160" s="83" t="s">
        <v>2701</v>
      </c>
      <c r="CK160" s="144">
        <v>0</v>
      </c>
      <c r="CL160"/>
    </row>
    <row r="161" spans="1:90">
      <c r="A161" s="83" t="s">
        <v>1546</v>
      </c>
      <c r="B161" s="83" t="s">
        <v>1627</v>
      </c>
      <c r="D161" s="83" t="s">
        <v>714</v>
      </c>
      <c r="E161" s="83" t="s">
        <v>894</v>
      </c>
      <c r="F161" s="83" t="s">
        <v>1724</v>
      </c>
      <c r="G161" s="83" t="s">
        <v>1846</v>
      </c>
      <c r="H161" s="83" t="s">
        <v>1201</v>
      </c>
      <c r="I161" s="83" t="s">
        <v>1202</v>
      </c>
      <c r="J161" s="83" t="s">
        <v>1203</v>
      </c>
      <c r="K161" s="83" t="s">
        <v>565</v>
      </c>
      <c r="L161" s="83" t="s">
        <v>398</v>
      </c>
      <c r="M161" s="83" t="s">
        <v>399</v>
      </c>
      <c r="N161" s="83" t="s">
        <v>2690</v>
      </c>
      <c r="O161" s="83" t="s">
        <v>106</v>
      </c>
      <c r="P161" s="83">
        <v>4</v>
      </c>
      <c r="Q161" s="83" t="s">
        <v>106</v>
      </c>
      <c r="R161" s="83" t="s">
        <v>2691</v>
      </c>
      <c r="S161" s="83" t="s">
        <v>2714</v>
      </c>
      <c r="T161" s="83" t="s">
        <v>2703</v>
      </c>
      <c r="U161" s="83" t="s">
        <v>401</v>
      </c>
      <c r="AC161" s="83" t="s">
        <v>401</v>
      </c>
      <c r="AD161" s="83">
        <v>94000</v>
      </c>
      <c r="AF161" s="83">
        <v>2000</v>
      </c>
      <c r="AJ161" s="83">
        <v>1</v>
      </c>
      <c r="AK161" s="83">
        <v>1</v>
      </c>
      <c r="AL161" s="83">
        <v>700</v>
      </c>
      <c r="AM161" s="83" t="s">
        <v>2693</v>
      </c>
      <c r="BK161" s="83" t="s">
        <v>2694</v>
      </c>
      <c r="BL161" s="83" t="s">
        <v>2695</v>
      </c>
      <c r="BM161" s="83" t="s">
        <v>2697</v>
      </c>
      <c r="BN161" s="83" t="s">
        <v>2696</v>
      </c>
      <c r="BO161" s="83" t="s">
        <v>2697</v>
      </c>
      <c r="BP161" s="83" t="s">
        <v>2698</v>
      </c>
      <c r="BQ161" s="83" t="s">
        <v>2693</v>
      </c>
      <c r="BR161" s="83" t="s">
        <v>2693</v>
      </c>
      <c r="BS161" s="83" t="s">
        <v>2699</v>
      </c>
      <c r="BT161" s="83">
        <v>0</v>
      </c>
      <c r="BU161" s="83" t="s">
        <v>2699</v>
      </c>
      <c r="BV161" s="83" t="s">
        <v>2696</v>
      </c>
      <c r="BW161" s="83" t="s">
        <v>2698</v>
      </c>
      <c r="BX161" s="83" t="s">
        <v>2696</v>
      </c>
      <c r="BY161" s="83" t="s">
        <v>2699</v>
      </c>
      <c r="BZ161" s="83" t="s">
        <v>2699</v>
      </c>
      <c r="CA161" s="83" t="s">
        <v>2693</v>
      </c>
      <c r="CB161" s="83">
        <v>9</v>
      </c>
      <c r="CC161" s="83" t="s">
        <v>2699</v>
      </c>
      <c r="CD161" s="83" t="s">
        <v>2696</v>
      </c>
      <c r="CF161" s="83" t="s">
        <v>2106</v>
      </c>
      <c r="CG161" s="83" t="s">
        <v>2107</v>
      </c>
      <c r="CH161" s="83" t="s">
        <v>2693</v>
      </c>
      <c r="CI161" s="83" t="s">
        <v>3992</v>
      </c>
      <c r="CJ161" s="83" t="s">
        <v>2701</v>
      </c>
      <c r="CK161" s="144">
        <v>0</v>
      </c>
      <c r="CL161"/>
    </row>
    <row r="162" spans="1:90">
      <c r="A162" s="83" t="s">
        <v>2560</v>
      </c>
      <c r="B162" s="83" t="s">
        <v>3033</v>
      </c>
      <c r="D162" s="83" t="s">
        <v>688</v>
      </c>
      <c r="E162" s="83" t="s">
        <v>894</v>
      </c>
      <c r="F162" s="83" t="s">
        <v>3034</v>
      </c>
      <c r="G162" s="83" t="s">
        <v>2291</v>
      </c>
      <c r="H162" s="83" t="s">
        <v>1201</v>
      </c>
      <c r="I162" s="83" t="s">
        <v>1202</v>
      </c>
      <c r="J162" s="83" t="s">
        <v>1203</v>
      </c>
      <c r="K162" s="83" t="s">
        <v>565</v>
      </c>
      <c r="L162" s="83" t="s">
        <v>398</v>
      </c>
      <c r="M162" s="83" t="s">
        <v>399</v>
      </c>
      <c r="N162" s="83" t="s">
        <v>3001</v>
      </c>
      <c r="O162" s="83" t="s">
        <v>106</v>
      </c>
      <c r="P162" s="83">
        <v>4</v>
      </c>
      <c r="Q162" s="83" t="s">
        <v>106</v>
      </c>
      <c r="R162" s="83" t="s">
        <v>2727</v>
      </c>
      <c r="S162" s="83" t="s">
        <v>2843</v>
      </c>
      <c r="T162" s="83" t="s">
        <v>2843</v>
      </c>
      <c r="U162" s="83" t="s">
        <v>401</v>
      </c>
      <c r="AC162" s="83" t="s">
        <v>401</v>
      </c>
      <c r="AD162" s="83">
        <v>11000</v>
      </c>
      <c r="AF162" s="83">
        <v>0</v>
      </c>
      <c r="AJ162" s="83">
        <v>1</v>
      </c>
      <c r="AK162" s="83">
        <v>1</v>
      </c>
      <c r="AL162" s="83">
        <v>140</v>
      </c>
      <c r="AM162" s="83" t="s">
        <v>2693</v>
      </c>
      <c r="BK162" s="83" t="s">
        <v>2694</v>
      </c>
      <c r="BL162" s="83" t="s">
        <v>2693</v>
      </c>
      <c r="BM162" s="83" t="s">
        <v>2697</v>
      </c>
      <c r="BN162" s="83" t="s">
        <v>2698</v>
      </c>
      <c r="BO162" s="83" t="s">
        <v>2697</v>
      </c>
      <c r="BP162" s="83" t="s">
        <v>2698</v>
      </c>
      <c r="BQ162" s="83" t="s">
        <v>2699</v>
      </c>
      <c r="BR162" s="83" t="s">
        <v>2693</v>
      </c>
      <c r="BS162" s="83" t="s">
        <v>2699</v>
      </c>
      <c r="BT162" s="83" t="s">
        <v>2696</v>
      </c>
      <c r="BU162" s="83" t="s">
        <v>2699</v>
      </c>
      <c r="BV162" s="83" t="s">
        <v>2696</v>
      </c>
      <c r="BW162" s="83" t="s">
        <v>2698</v>
      </c>
      <c r="BX162" s="83" t="s">
        <v>2696</v>
      </c>
      <c r="BY162" s="83" t="s">
        <v>2699</v>
      </c>
      <c r="BZ162" s="83" t="s">
        <v>2693</v>
      </c>
      <c r="CA162" s="83" t="s">
        <v>2693</v>
      </c>
      <c r="CB162" s="83" t="s">
        <v>2694</v>
      </c>
      <c r="CC162" s="83" t="s">
        <v>2699</v>
      </c>
      <c r="CD162" s="83" t="s">
        <v>2696</v>
      </c>
      <c r="CF162" s="83" t="s">
        <v>3035</v>
      </c>
      <c r="CG162" s="83" t="s">
        <v>3036</v>
      </c>
      <c r="CH162" s="83" t="s">
        <v>2693</v>
      </c>
      <c r="CI162" s="83" t="s">
        <v>3992</v>
      </c>
      <c r="CJ162" s="83" t="s">
        <v>2701</v>
      </c>
      <c r="CK162" s="144">
        <v>0</v>
      </c>
      <c r="CL162" s="99">
        <v>204000</v>
      </c>
    </row>
    <row r="163" spans="1:90">
      <c r="A163" s="83" t="s">
        <v>1547</v>
      </c>
      <c r="B163" s="83" t="s">
        <v>1620</v>
      </c>
      <c r="D163" s="83" t="s">
        <v>673</v>
      </c>
      <c r="E163" s="83" t="s">
        <v>711</v>
      </c>
      <c r="F163" s="83" t="s">
        <v>1713</v>
      </c>
      <c r="G163" s="83" t="s">
        <v>1837</v>
      </c>
      <c r="H163" s="83" t="s">
        <v>1201</v>
      </c>
      <c r="I163" s="83" t="s">
        <v>1202</v>
      </c>
      <c r="J163" s="83" t="s">
        <v>1203</v>
      </c>
      <c r="K163" s="83" t="s">
        <v>565</v>
      </c>
      <c r="L163" s="83" t="s">
        <v>398</v>
      </c>
      <c r="M163" s="83" t="s">
        <v>399</v>
      </c>
      <c r="N163" s="83" t="s">
        <v>2690</v>
      </c>
      <c r="O163" s="83" t="s">
        <v>106</v>
      </c>
      <c r="P163" s="83">
        <v>4</v>
      </c>
      <c r="Q163" s="83" t="s">
        <v>106</v>
      </c>
      <c r="R163" s="83" t="s">
        <v>2727</v>
      </c>
      <c r="S163" s="83" t="s">
        <v>2720</v>
      </c>
      <c r="T163" s="83" t="s">
        <v>2703</v>
      </c>
      <c r="U163" s="83" t="s">
        <v>401</v>
      </c>
      <c r="AC163" s="83" t="s">
        <v>401</v>
      </c>
      <c r="AJ163" s="83">
        <v>1</v>
      </c>
      <c r="AK163" s="83">
        <v>1</v>
      </c>
      <c r="AL163" s="83">
        <v>780</v>
      </c>
      <c r="AM163" s="83" t="s">
        <v>2693</v>
      </c>
      <c r="BK163" s="83" t="s">
        <v>2694</v>
      </c>
      <c r="BL163" s="83" t="s">
        <v>2704</v>
      </c>
      <c r="BM163" s="83" t="s">
        <v>2697</v>
      </c>
      <c r="BN163" s="83" t="s">
        <v>2699</v>
      </c>
      <c r="BO163" s="83" t="s">
        <v>2697</v>
      </c>
      <c r="BP163" s="83" t="s">
        <v>2698</v>
      </c>
      <c r="BQ163" s="83" t="s">
        <v>2693</v>
      </c>
      <c r="BR163" s="83" t="s">
        <v>2693</v>
      </c>
      <c r="BS163" s="83" t="s">
        <v>2699</v>
      </c>
      <c r="BT163" s="83" t="s">
        <v>2696</v>
      </c>
      <c r="BU163" s="83" t="s">
        <v>2699</v>
      </c>
      <c r="BV163" s="83" t="s">
        <v>2696</v>
      </c>
      <c r="BW163" s="83" t="s">
        <v>2698</v>
      </c>
      <c r="BX163" s="83" t="s">
        <v>2696</v>
      </c>
      <c r="BY163" s="83" t="s">
        <v>2699</v>
      </c>
      <c r="BZ163" s="83" t="s">
        <v>2693</v>
      </c>
      <c r="CA163" s="83" t="s">
        <v>2693</v>
      </c>
      <c r="CB163" s="83">
        <v>9</v>
      </c>
      <c r="CC163" s="83" t="s">
        <v>2699</v>
      </c>
      <c r="CD163" s="83" t="s">
        <v>2696</v>
      </c>
      <c r="CF163" s="83" t="s">
        <v>2072</v>
      </c>
      <c r="CG163" s="83" t="s">
        <v>2073</v>
      </c>
      <c r="CH163" s="83" t="s">
        <v>2693</v>
      </c>
      <c r="CI163" s="83" t="s">
        <v>3992</v>
      </c>
      <c r="CJ163" s="83" t="s">
        <v>2701</v>
      </c>
      <c r="CK163" s="144">
        <v>0</v>
      </c>
      <c r="CL163"/>
    </row>
    <row r="164" spans="1:90">
      <c r="A164" s="83" t="s">
        <v>1548</v>
      </c>
      <c r="B164" s="83" t="s">
        <v>1628</v>
      </c>
      <c r="D164" s="83" t="s">
        <v>688</v>
      </c>
      <c r="E164" s="83" t="s">
        <v>2423</v>
      </c>
      <c r="F164" s="83" t="s">
        <v>1725</v>
      </c>
      <c r="G164" s="83" t="s">
        <v>1847</v>
      </c>
      <c r="H164" s="83" t="s">
        <v>1201</v>
      </c>
      <c r="I164" s="83" t="s">
        <v>1202</v>
      </c>
      <c r="J164" s="83" t="s">
        <v>1203</v>
      </c>
      <c r="K164" s="83" t="s">
        <v>565</v>
      </c>
      <c r="L164" s="83" t="s">
        <v>398</v>
      </c>
      <c r="M164" s="83" t="s">
        <v>399</v>
      </c>
      <c r="N164" s="83" t="s">
        <v>2743</v>
      </c>
      <c r="O164" s="83" t="s">
        <v>106</v>
      </c>
      <c r="P164" s="83">
        <v>5</v>
      </c>
      <c r="Q164" s="83" t="s">
        <v>106</v>
      </c>
      <c r="R164" s="83" t="s">
        <v>2727</v>
      </c>
      <c r="S164" s="83" t="s">
        <v>2720</v>
      </c>
      <c r="T164" s="83" t="s">
        <v>2703</v>
      </c>
      <c r="U164" s="83" t="s">
        <v>401</v>
      </c>
      <c r="AC164" s="83" t="s">
        <v>401</v>
      </c>
      <c r="AD164" s="83">
        <v>15000</v>
      </c>
      <c r="AF164" s="83">
        <v>0</v>
      </c>
      <c r="AJ164" s="83">
        <v>1</v>
      </c>
      <c r="AK164" s="83">
        <v>1</v>
      </c>
      <c r="AL164" s="83">
        <v>225</v>
      </c>
      <c r="AM164" s="83" t="s">
        <v>2693</v>
      </c>
      <c r="BK164" s="83" t="s">
        <v>2694</v>
      </c>
      <c r="BL164" s="83" t="s">
        <v>2695</v>
      </c>
      <c r="BM164" s="83" t="s">
        <v>2693</v>
      </c>
      <c r="BN164" s="83" t="s">
        <v>2698</v>
      </c>
      <c r="BO164" s="83" t="s">
        <v>2697</v>
      </c>
      <c r="BP164" s="83" t="s">
        <v>2693</v>
      </c>
      <c r="BQ164" s="83" t="s">
        <v>2699</v>
      </c>
      <c r="BR164" s="83" t="s">
        <v>2693</v>
      </c>
      <c r="BS164" s="83" t="s">
        <v>2699</v>
      </c>
      <c r="BT164" s="83">
        <v>0</v>
      </c>
      <c r="BU164" s="83" t="s">
        <v>2699</v>
      </c>
      <c r="BV164" s="83" t="s">
        <v>2696</v>
      </c>
      <c r="BW164" s="83" t="s">
        <v>2698</v>
      </c>
      <c r="BX164" s="83" t="s">
        <v>2696</v>
      </c>
      <c r="BY164" s="83" t="s">
        <v>2699</v>
      </c>
      <c r="BZ164" s="83" t="s">
        <v>2693</v>
      </c>
      <c r="CA164" s="83" t="s">
        <v>2693</v>
      </c>
      <c r="CB164" s="83">
        <v>9</v>
      </c>
      <c r="CC164" s="83" t="s">
        <v>2699</v>
      </c>
      <c r="CD164" s="83" t="s">
        <v>2696</v>
      </c>
      <c r="CF164" s="83" t="s">
        <v>2079</v>
      </c>
      <c r="CG164" s="83" t="s">
        <v>2080</v>
      </c>
      <c r="CH164" s="83" t="s">
        <v>2725</v>
      </c>
      <c r="CI164" s="83" t="s">
        <v>1358</v>
      </c>
      <c r="CJ164" s="83" t="s">
        <v>2726</v>
      </c>
      <c r="CK164" s="144">
        <v>0</v>
      </c>
      <c r="CL164" s="99">
        <v>63000</v>
      </c>
    </row>
    <row r="165" spans="1:90">
      <c r="A165" s="83" t="s">
        <v>1549</v>
      </c>
      <c r="B165" s="83" t="s">
        <v>1629</v>
      </c>
      <c r="D165" s="83" t="s">
        <v>688</v>
      </c>
      <c r="E165" s="83" t="s">
        <v>1012</v>
      </c>
      <c r="F165" s="83" t="s">
        <v>1726</v>
      </c>
      <c r="G165" s="83" t="s">
        <v>1848</v>
      </c>
      <c r="H165" s="83" t="s">
        <v>1201</v>
      </c>
      <c r="I165" s="83" t="s">
        <v>1202</v>
      </c>
      <c r="J165" s="83" t="s">
        <v>1203</v>
      </c>
      <c r="K165" s="83" t="s">
        <v>565</v>
      </c>
      <c r="L165" s="83" t="s">
        <v>398</v>
      </c>
      <c r="M165" s="83" t="s">
        <v>399</v>
      </c>
      <c r="N165" s="83" t="s">
        <v>2709</v>
      </c>
      <c r="O165" s="83" t="s">
        <v>106</v>
      </c>
      <c r="P165" s="83">
        <v>4</v>
      </c>
      <c r="Q165" s="83" t="s">
        <v>106</v>
      </c>
      <c r="R165" s="83" t="s">
        <v>2691</v>
      </c>
      <c r="S165" s="83" t="s">
        <v>2712</v>
      </c>
      <c r="T165" s="83" t="s">
        <v>2703</v>
      </c>
      <c r="U165" s="83" t="s">
        <v>401</v>
      </c>
      <c r="AC165" s="83" t="s">
        <v>401</v>
      </c>
      <c r="AD165" s="83">
        <v>401000</v>
      </c>
      <c r="AF165" s="83">
        <v>0</v>
      </c>
      <c r="AJ165" s="83">
        <v>1</v>
      </c>
      <c r="AK165" s="83">
        <v>1</v>
      </c>
      <c r="AL165" s="83">
        <v>4614</v>
      </c>
      <c r="AM165" s="83" t="s">
        <v>2693</v>
      </c>
      <c r="BK165" s="83" t="s">
        <v>2694</v>
      </c>
      <c r="BL165" s="83" t="s">
        <v>2704</v>
      </c>
      <c r="BM165" s="83" t="s">
        <v>2698</v>
      </c>
      <c r="BN165" s="83" t="s">
        <v>2699</v>
      </c>
      <c r="BO165" s="83" t="s">
        <v>2697</v>
      </c>
      <c r="BP165" s="83" t="s">
        <v>2698</v>
      </c>
      <c r="BQ165" s="83" t="s">
        <v>2693</v>
      </c>
      <c r="BR165" s="83" t="s">
        <v>2693</v>
      </c>
      <c r="BS165" s="83" t="s">
        <v>2699</v>
      </c>
      <c r="BT165" s="83">
        <v>0</v>
      </c>
      <c r="BU165" s="83" t="s">
        <v>2699</v>
      </c>
      <c r="BV165" s="83" t="s">
        <v>2696</v>
      </c>
      <c r="BW165" s="83" t="s">
        <v>2698</v>
      </c>
      <c r="BX165" s="83" t="s">
        <v>2696</v>
      </c>
      <c r="BY165" s="83" t="s">
        <v>2699</v>
      </c>
      <c r="BZ165" s="83" t="s">
        <v>2699</v>
      </c>
      <c r="CA165" s="83" t="s">
        <v>2693</v>
      </c>
      <c r="CB165" s="83">
        <v>8</v>
      </c>
      <c r="CC165" s="83" t="s">
        <v>2699</v>
      </c>
      <c r="CD165" s="83" t="s">
        <v>2696</v>
      </c>
      <c r="CF165" s="83" t="s">
        <v>2138</v>
      </c>
      <c r="CG165" s="83" t="s">
        <v>939</v>
      </c>
      <c r="CH165" s="83" t="s">
        <v>2693</v>
      </c>
      <c r="CI165" s="83" t="s">
        <v>3992</v>
      </c>
      <c r="CJ165" s="83" t="s">
        <v>2701</v>
      </c>
      <c r="CK165" s="144">
        <v>0</v>
      </c>
      <c r="CL165" s="99">
        <v>353000</v>
      </c>
    </row>
    <row r="166" spans="1:90">
      <c r="A166" s="83" t="s">
        <v>1549</v>
      </c>
      <c r="B166" s="83" t="s">
        <v>1629</v>
      </c>
      <c r="D166" s="83" t="s">
        <v>673</v>
      </c>
      <c r="E166" s="83" t="s">
        <v>2723</v>
      </c>
      <c r="F166" s="83" t="s">
        <v>1726</v>
      </c>
      <c r="G166" s="83" t="s">
        <v>1848</v>
      </c>
      <c r="H166" s="83" t="s">
        <v>1201</v>
      </c>
      <c r="I166" s="83" t="s">
        <v>1202</v>
      </c>
      <c r="J166" s="83" t="s">
        <v>1203</v>
      </c>
      <c r="K166" s="83" t="s">
        <v>565</v>
      </c>
      <c r="L166" s="83" t="s">
        <v>398</v>
      </c>
      <c r="M166" s="83" t="s">
        <v>399</v>
      </c>
      <c r="N166" s="83" t="s">
        <v>2709</v>
      </c>
      <c r="O166" s="83" t="s">
        <v>106</v>
      </c>
      <c r="P166" s="83">
        <v>5</v>
      </c>
      <c r="Q166" s="83" t="s">
        <v>106</v>
      </c>
      <c r="R166" s="83" t="s">
        <v>2691</v>
      </c>
      <c r="S166" s="83" t="s">
        <v>2712</v>
      </c>
      <c r="T166" s="83" t="s">
        <v>2703</v>
      </c>
      <c r="U166" s="83" t="s">
        <v>401</v>
      </c>
      <c r="AC166" s="83" t="s">
        <v>401</v>
      </c>
      <c r="AD166" s="83">
        <v>146000</v>
      </c>
      <c r="AF166" s="83">
        <v>3000</v>
      </c>
      <c r="AJ166" s="83">
        <v>1</v>
      </c>
      <c r="AK166" s="83">
        <v>1</v>
      </c>
      <c r="AL166" s="83">
        <v>950</v>
      </c>
      <c r="AM166" s="83" t="s">
        <v>2693</v>
      </c>
      <c r="BK166" s="83" t="s">
        <v>2694</v>
      </c>
      <c r="BL166" s="83" t="s">
        <v>2698</v>
      </c>
      <c r="BM166" s="83" t="s">
        <v>2699</v>
      </c>
      <c r="BN166" s="83" t="s">
        <v>2698</v>
      </c>
      <c r="BO166" s="83" t="s">
        <v>2697</v>
      </c>
      <c r="BP166" s="83" t="s">
        <v>2698</v>
      </c>
      <c r="BQ166" s="83" t="s">
        <v>2693</v>
      </c>
      <c r="BR166" s="83" t="s">
        <v>2693</v>
      </c>
      <c r="BS166" s="83" t="s">
        <v>2699</v>
      </c>
      <c r="BT166" s="83">
        <v>0</v>
      </c>
      <c r="BU166" s="83" t="s">
        <v>2699</v>
      </c>
      <c r="BV166" s="83" t="s">
        <v>2696</v>
      </c>
      <c r="BW166" s="83" t="s">
        <v>2698</v>
      </c>
      <c r="BX166" s="83" t="s">
        <v>2696</v>
      </c>
      <c r="BY166" s="83" t="s">
        <v>2699</v>
      </c>
      <c r="BZ166" s="83" t="s">
        <v>2696</v>
      </c>
      <c r="CA166" s="83" t="s">
        <v>2693</v>
      </c>
      <c r="CB166" s="83">
        <v>9</v>
      </c>
      <c r="CC166" s="83" t="s">
        <v>2699</v>
      </c>
      <c r="CD166" s="83" t="s">
        <v>2696</v>
      </c>
      <c r="CF166" s="83" t="s">
        <v>2139</v>
      </c>
      <c r="CG166" s="83" t="s">
        <v>2140</v>
      </c>
      <c r="CH166" s="83" t="s">
        <v>2725</v>
      </c>
      <c r="CI166" s="83" t="s">
        <v>778</v>
      </c>
      <c r="CJ166" s="83" t="s">
        <v>2780</v>
      </c>
      <c r="CK166" s="144">
        <v>0</v>
      </c>
      <c r="CL166"/>
    </row>
    <row r="167" spans="1:90">
      <c r="A167" s="83" t="s">
        <v>1549</v>
      </c>
      <c r="B167" s="83" t="s">
        <v>1629</v>
      </c>
      <c r="D167" s="83" t="s">
        <v>714</v>
      </c>
      <c r="E167" s="83" t="s">
        <v>1675</v>
      </c>
      <c r="F167" s="83" t="s">
        <v>1726</v>
      </c>
      <c r="G167" s="83" t="s">
        <v>1848</v>
      </c>
      <c r="H167" s="83" t="s">
        <v>1201</v>
      </c>
      <c r="I167" s="83" t="s">
        <v>1202</v>
      </c>
      <c r="J167" s="83" t="s">
        <v>1203</v>
      </c>
      <c r="K167" s="83" t="s">
        <v>565</v>
      </c>
      <c r="L167" s="83" t="s">
        <v>398</v>
      </c>
      <c r="M167" s="83" t="s">
        <v>399</v>
      </c>
      <c r="N167" s="83" t="s">
        <v>2709</v>
      </c>
      <c r="O167" s="83" t="s">
        <v>106</v>
      </c>
      <c r="P167" s="83">
        <v>5</v>
      </c>
      <c r="Q167" s="83" t="s">
        <v>106</v>
      </c>
      <c r="R167" s="83" t="s">
        <v>2727</v>
      </c>
      <c r="S167" s="83" t="s">
        <v>2712</v>
      </c>
      <c r="T167" s="83" t="s">
        <v>2703</v>
      </c>
      <c r="U167" s="83" t="s">
        <v>401</v>
      </c>
      <c r="AC167" s="83" t="s">
        <v>401</v>
      </c>
      <c r="AD167" s="83">
        <v>59000</v>
      </c>
      <c r="AF167" s="83">
        <v>0</v>
      </c>
      <c r="AJ167" s="83">
        <v>1</v>
      </c>
      <c r="AK167" s="83">
        <v>1</v>
      </c>
      <c r="AL167" s="83">
        <v>600</v>
      </c>
      <c r="AM167" s="83" t="s">
        <v>2693</v>
      </c>
      <c r="BK167" s="83" t="s">
        <v>2694</v>
      </c>
      <c r="BL167" s="83" t="s">
        <v>2698</v>
      </c>
      <c r="BM167" s="83" t="s">
        <v>2699</v>
      </c>
      <c r="BN167" s="83" t="s">
        <v>2698</v>
      </c>
      <c r="BO167" s="83" t="s">
        <v>2697</v>
      </c>
      <c r="BP167" s="83" t="s">
        <v>2698</v>
      </c>
      <c r="BQ167" s="83" t="s">
        <v>2693</v>
      </c>
      <c r="BR167" s="83" t="s">
        <v>2693</v>
      </c>
      <c r="BS167" s="83" t="s">
        <v>2699</v>
      </c>
      <c r="BT167" s="83">
        <v>0</v>
      </c>
      <c r="BU167" s="83" t="s">
        <v>2699</v>
      </c>
      <c r="BV167" s="83" t="s">
        <v>2696</v>
      </c>
      <c r="BW167" s="83" t="s">
        <v>2698</v>
      </c>
      <c r="BX167" s="83" t="s">
        <v>2696</v>
      </c>
      <c r="BY167" s="83" t="s">
        <v>2699</v>
      </c>
      <c r="BZ167" s="83" t="s">
        <v>2696</v>
      </c>
      <c r="CA167" s="83" t="s">
        <v>2693</v>
      </c>
      <c r="CB167" s="83">
        <v>9</v>
      </c>
      <c r="CC167" s="83" t="s">
        <v>2699</v>
      </c>
      <c r="CD167" s="83" t="s">
        <v>2696</v>
      </c>
      <c r="CF167" s="83" t="s">
        <v>2141</v>
      </c>
      <c r="CG167" s="83" t="s">
        <v>2142</v>
      </c>
      <c r="CH167" s="83" t="s">
        <v>2725</v>
      </c>
      <c r="CI167" s="83" t="s">
        <v>778</v>
      </c>
      <c r="CJ167" s="83" t="s">
        <v>2780</v>
      </c>
      <c r="CK167" s="144">
        <v>0</v>
      </c>
      <c r="CL167"/>
    </row>
    <row r="168" spans="1:90">
      <c r="A168" s="83" t="s">
        <v>1549</v>
      </c>
      <c r="B168" s="83" t="s">
        <v>1629</v>
      </c>
      <c r="D168" s="83" t="s">
        <v>717</v>
      </c>
      <c r="E168" s="83" t="s">
        <v>894</v>
      </c>
      <c r="F168" s="83" t="s">
        <v>1726</v>
      </c>
      <c r="G168" s="83" t="s">
        <v>1848</v>
      </c>
      <c r="H168" s="83" t="s">
        <v>1201</v>
      </c>
      <c r="I168" s="83" t="s">
        <v>1202</v>
      </c>
      <c r="J168" s="83" t="s">
        <v>1203</v>
      </c>
      <c r="K168" s="83" t="s">
        <v>565</v>
      </c>
      <c r="L168" s="83" t="s">
        <v>398</v>
      </c>
      <c r="M168" s="83" t="s">
        <v>399</v>
      </c>
      <c r="N168" s="83" t="s">
        <v>2709</v>
      </c>
      <c r="O168" s="83" t="s">
        <v>106</v>
      </c>
      <c r="P168" s="83">
        <v>4</v>
      </c>
      <c r="Q168" s="83" t="s">
        <v>106</v>
      </c>
      <c r="R168" s="83" t="s">
        <v>2691</v>
      </c>
      <c r="S168" s="83" t="s">
        <v>1468</v>
      </c>
      <c r="T168" s="83" t="s">
        <v>2703</v>
      </c>
      <c r="U168" s="83" t="s">
        <v>401</v>
      </c>
      <c r="AC168" s="83" t="s">
        <v>401</v>
      </c>
      <c r="AD168" s="83">
        <v>99000</v>
      </c>
      <c r="AF168" s="83">
        <v>2000</v>
      </c>
      <c r="AJ168" s="83">
        <v>1</v>
      </c>
      <c r="AK168" s="83">
        <v>1</v>
      </c>
      <c r="AL168" s="83">
        <v>648</v>
      </c>
      <c r="AM168" s="83" t="s">
        <v>2693</v>
      </c>
      <c r="BK168" s="83" t="s">
        <v>2694</v>
      </c>
      <c r="BL168" s="83" t="s">
        <v>2699</v>
      </c>
      <c r="BM168" s="83" t="s">
        <v>2697</v>
      </c>
      <c r="BN168" s="83">
        <v>5</v>
      </c>
      <c r="BO168" s="83" t="s">
        <v>2699</v>
      </c>
      <c r="BP168" s="83" t="s">
        <v>2698</v>
      </c>
      <c r="BQ168" s="83" t="s">
        <v>2693</v>
      </c>
      <c r="BR168" s="83" t="s">
        <v>2693</v>
      </c>
      <c r="BS168" s="83" t="s">
        <v>2699</v>
      </c>
      <c r="BT168" s="83">
        <v>0</v>
      </c>
      <c r="BU168" s="83" t="s">
        <v>2699</v>
      </c>
      <c r="BV168" s="83" t="s">
        <v>2696</v>
      </c>
      <c r="BW168" s="83" t="s">
        <v>2698</v>
      </c>
      <c r="BX168" s="83" t="s">
        <v>2696</v>
      </c>
      <c r="BY168" s="83" t="s">
        <v>2699</v>
      </c>
      <c r="BZ168" s="83" t="s">
        <v>2696</v>
      </c>
      <c r="CA168" s="83" t="s">
        <v>2693</v>
      </c>
      <c r="CB168" s="83">
        <v>9</v>
      </c>
      <c r="CC168" s="83" t="s">
        <v>2699</v>
      </c>
      <c r="CD168" s="83" t="s">
        <v>2696</v>
      </c>
      <c r="CF168" s="83" t="s">
        <v>2143</v>
      </c>
      <c r="CG168" s="83" t="s">
        <v>2144</v>
      </c>
      <c r="CH168" s="83" t="s">
        <v>2693</v>
      </c>
      <c r="CI168" s="83" t="s">
        <v>3992</v>
      </c>
      <c r="CJ168" s="83" t="s">
        <v>2701</v>
      </c>
      <c r="CK168" s="144">
        <v>0</v>
      </c>
      <c r="CL168"/>
    </row>
    <row r="169" spans="1:90">
      <c r="A169" s="79" t="s">
        <v>1549</v>
      </c>
      <c r="B169" s="79" t="s">
        <v>1629</v>
      </c>
      <c r="C169" s="79"/>
      <c r="D169" s="79" t="s">
        <v>716</v>
      </c>
      <c r="E169" s="79" t="s">
        <v>3822</v>
      </c>
      <c r="F169" s="79">
        <v>2500</v>
      </c>
      <c r="G169" s="79" t="s">
        <v>1848</v>
      </c>
      <c r="H169" s="79" t="s">
        <v>1201</v>
      </c>
      <c r="I169" s="79" t="s">
        <v>1202</v>
      </c>
      <c r="J169" s="79" t="s">
        <v>1203</v>
      </c>
      <c r="K169" s="79" t="s">
        <v>565</v>
      </c>
      <c r="L169" s="79" t="s">
        <v>398</v>
      </c>
      <c r="M169" s="79" t="s">
        <v>399</v>
      </c>
      <c r="N169" s="79" t="s">
        <v>2709</v>
      </c>
      <c r="O169" s="79" t="s">
        <v>106</v>
      </c>
      <c r="P169" s="79">
        <v>5</v>
      </c>
      <c r="Q169" s="79" t="s">
        <v>106</v>
      </c>
      <c r="R169" s="79">
        <v>10</v>
      </c>
      <c r="S169" s="90">
        <v>29586</v>
      </c>
      <c r="T169" s="79" t="s">
        <v>2703</v>
      </c>
      <c r="U169" s="79" t="s">
        <v>401</v>
      </c>
      <c r="AC169" s="79" t="s">
        <v>401</v>
      </c>
      <c r="AD169" s="79">
        <v>460000</v>
      </c>
      <c r="AE169" s="79"/>
      <c r="AF169" s="79">
        <v>0</v>
      </c>
      <c r="AG169" s="79"/>
      <c r="AH169" s="79"/>
      <c r="AI169" s="79"/>
      <c r="AJ169" s="79">
        <v>1</v>
      </c>
      <c r="AK169" s="83">
        <v>1</v>
      </c>
      <c r="AL169" s="79">
        <v>6750</v>
      </c>
      <c r="AM169" s="79" t="s">
        <v>2693</v>
      </c>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79"/>
      <c r="BJ169" s="79"/>
      <c r="BK169" s="79">
        <v>9</v>
      </c>
      <c r="BL169" s="79">
        <v>0</v>
      </c>
      <c r="BM169" s="79">
        <v>0</v>
      </c>
      <c r="BN169" s="79">
        <v>0</v>
      </c>
      <c r="BO169" s="79">
        <v>0</v>
      </c>
      <c r="BP169" s="79">
        <v>0</v>
      </c>
      <c r="BQ169" s="79">
        <v>0</v>
      </c>
      <c r="BR169" s="79">
        <v>0</v>
      </c>
      <c r="BS169" s="79">
        <v>0</v>
      </c>
      <c r="BT169" s="79">
        <v>0</v>
      </c>
      <c r="BU169" s="79">
        <v>1</v>
      </c>
      <c r="BV169" s="79">
        <v>0</v>
      </c>
      <c r="BW169" s="79">
        <v>0</v>
      </c>
      <c r="BX169" s="83">
        <v>0</v>
      </c>
      <c r="BY169" s="79">
        <v>0</v>
      </c>
      <c r="BZ169" s="79">
        <v>0</v>
      </c>
      <c r="CA169" s="79">
        <v>0</v>
      </c>
      <c r="CB169" s="79">
        <v>0</v>
      </c>
      <c r="CC169" s="79">
        <v>0</v>
      </c>
      <c r="CD169" s="83" t="s">
        <v>2696</v>
      </c>
      <c r="CE169" s="79"/>
      <c r="CF169" s="79" t="s">
        <v>3215</v>
      </c>
      <c r="CG169" s="79" t="s">
        <v>3895</v>
      </c>
      <c r="CH169" s="79" t="s">
        <v>2725</v>
      </c>
      <c r="CI169" s="83" t="s">
        <v>1358</v>
      </c>
      <c r="CJ169" s="79">
        <v>137</v>
      </c>
      <c r="CK169" s="144">
        <v>0</v>
      </c>
      <c r="CL169"/>
    </row>
    <row r="170" spans="1:90">
      <c r="A170" s="83" t="s">
        <v>1550</v>
      </c>
      <c r="B170" s="83" t="s">
        <v>1630</v>
      </c>
      <c r="D170" s="83" t="s">
        <v>688</v>
      </c>
      <c r="E170" s="83" t="s">
        <v>1012</v>
      </c>
      <c r="F170" s="83" t="s">
        <v>1727</v>
      </c>
      <c r="G170" s="83" t="s">
        <v>1849</v>
      </c>
      <c r="H170" s="83" t="s">
        <v>1201</v>
      </c>
      <c r="I170" s="83" t="s">
        <v>1202</v>
      </c>
      <c r="J170" s="83" t="s">
        <v>1203</v>
      </c>
      <c r="K170" s="83" t="s">
        <v>565</v>
      </c>
      <c r="L170" s="83" t="s">
        <v>398</v>
      </c>
      <c r="M170" s="83" t="s">
        <v>399</v>
      </c>
      <c r="N170" s="83" t="s">
        <v>2743</v>
      </c>
      <c r="O170" s="83" t="s">
        <v>106</v>
      </c>
      <c r="P170" s="83">
        <v>4</v>
      </c>
      <c r="Q170" s="83" t="s">
        <v>106</v>
      </c>
      <c r="R170" s="83" t="s">
        <v>2691</v>
      </c>
      <c r="S170" s="83" t="s">
        <v>2712</v>
      </c>
      <c r="T170" s="83" t="s">
        <v>2703</v>
      </c>
      <c r="U170" s="83" t="s">
        <v>401</v>
      </c>
      <c r="AC170" s="83" t="s">
        <v>401</v>
      </c>
      <c r="AD170" s="83">
        <v>353000</v>
      </c>
      <c r="AF170" s="83">
        <v>0</v>
      </c>
      <c r="AJ170" s="83">
        <v>1</v>
      </c>
      <c r="AK170" s="83">
        <v>1</v>
      </c>
      <c r="AL170" s="83">
        <v>3600</v>
      </c>
      <c r="AM170" s="83" t="s">
        <v>2693</v>
      </c>
      <c r="BK170" s="83" t="s">
        <v>2694</v>
      </c>
      <c r="BL170" s="83" t="s">
        <v>2699</v>
      </c>
      <c r="BM170" s="83" t="s">
        <v>2698</v>
      </c>
      <c r="BN170" s="83" t="s">
        <v>2699</v>
      </c>
      <c r="BO170" s="83" t="s">
        <v>2697</v>
      </c>
      <c r="BP170" s="83" t="s">
        <v>2695</v>
      </c>
      <c r="BQ170" s="83" t="s">
        <v>2693</v>
      </c>
      <c r="BR170" s="83" t="s">
        <v>2693</v>
      </c>
      <c r="BS170" s="83" t="s">
        <v>2699</v>
      </c>
      <c r="BT170" s="83">
        <v>0</v>
      </c>
      <c r="BU170" s="83" t="s">
        <v>2699</v>
      </c>
      <c r="BV170" s="83" t="s">
        <v>2696</v>
      </c>
      <c r="BW170" s="83" t="s">
        <v>2699</v>
      </c>
      <c r="BX170" s="83" t="s">
        <v>2696</v>
      </c>
      <c r="BY170" s="83" t="s">
        <v>2699</v>
      </c>
      <c r="BZ170" s="83" t="s">
        <v>2693</v>
      </c>
      <c r="CA170" s="83" t="s">
        <v>2693</v>
      </c>
      <c r="CB170" s="83">
        <v>8</v>
      </c>
      <c r="CC170" s="83" t="s">
        <v>2699</v>
      </c>
      <c r="CD170" s="83" t="s">
        <v>2696</v>
      </c>
      <c r="CF170" s="83" t="s">
        <v>2130</v>
      </c>
      <c r="CG170" s="83" t="s">
        <v>2131</v>
      </c>
      <c r="CH170" s="83" t="s">
        <v>2693</v>
      </c>
      <c r="CI170" s="83" t="s">
        <v>3992</v>
      </c>
      <c r="CJ170" s="83" t="s">
        <v>2701</v>
      </c>
      <c r="CK170" s="144">
        <v>0</v>
      </c>
      <c r="CL170" s="99">
        <v>51000</v>
      </c>
    </row>
    <row r="171" spans="1:90">
      <c r="A171" s="83" t="s">
        <v>1550</v>
      </c>
      <c r="B171" s="83" t="s">
        <v>1630</v>
      </c>
      <c r="D171" s="83" t="s">
        <v>673</v>
      </c>
      <c r="E171" s="83" t="s">
        <v>2781</v>
      </c>
      <c r="F171" s="83" t="s">
        <v>1727</v>
      </c>
      <c r="G171" s="83" t="s">
        <v>1849</v>
      </c>
      <c r="H171" s="83" t="s">
        <v>1201</v>
      </c>
      <c r="I171" s="83" t="s">
        <v>1202</v>
      </c>
      <c r="J171" s="83" t="s">
        <v>1203</v>
      </c>
      <c r="K171" s="83" t="s">
        <v>565</v>
      </c>
      <c r="L171" s="83" t="s">
        <v>398</v>
      </c>
      <c r="M171" s="83" t="s">
        <v>399</v>
      </c>
      <c r="N171" s="83" t="s">
        <v>2743</v>
      </c>
      <c r="O171" s="83" t="s">
        <v>106</v>
      </c>
      <c r="P171" s="83">
        <v>4</v>
      </c>
      <c r="Q171" s="83" t="s">
        <v>106</v>
      </c>
      <c r="R171" s="83" t="s">
        <v>2691</v>
      </c>
      <c r="S171" s="83" t="s">
        <v>2712</v>
      </c>
      <c r="T171" s="83" t="s">
        <v>2703</v>
      </c>
      <c r="U171" s="83" t="s">
        <v>401</v>
      </c>
      <c r="AC171" s="83" t="s">
        <v>401</v>
      </c>
      <c r="AD171" s="83">
        <v>159000</v>
      </c>
      <c r="AF171" s="83">
        <v>0</v>
      </c>
      <c r="AJ171" s="83">
        <v>1</v>
      </c>
      <c r="AK171" s="83">
        <v>1</v>
      </c>
      <c r="AL171" s="83">
        <v>320</v>
      </c>
      <c r="AM171" s="83" t="s">
        <v>2693</v>
      </c>
      <c r="BK171" s="83" t="s">
        <v>2694</v>
      </c>
      <c r="BL171" s="83" t="s">
        <v>2695</v>
      </c>
      <c r="BM171" s="83" t="s">
        <v>2693</v>
      </c>
      <c r="BN171" s="83" t="s">
        <v>2698</v>
      </c>
      <c r="BO171" s="83" t="s">
        <v>2697</v>
      </c>
      <c r="BP171" s="83" t="s">
        <v>2699</v>
      </c>
      <c r="BQ171" s="83" t="s">
        <v>2693</v>
      </c>
      <c r="BR171" s="83" t="s">
        <v>2693</v>
      </c>
      <c r="BS171" s="83" t="s">
        <v>2699</v>
      </c>
      <c r="BT171" s="83">
        <v>0</v>
      </c>
      <c r="BU171" s="83" t="s">
        <v>2699</v>
      </c>
      <c r="BV171" s="83" t="s">
        <v>2696</v>
      </c>
      <c r="BW171" s="83" t="s">
        <v>2699</v>
      </c>
      <c r="BX171" s="83" t="s">
        <v>2696</v>
      </c>
      <c r="BY171" s="83" t="s">
        <v>2699</v>
      </c>
      <c r="BZ171" s="83" t="s">
        <v>2693</v>
      </c>
      <c r="CA171" s="83" t="s">
        <v>2693</v>
      </c>
      <c r="CB171" s="83">
        <v>9</v>
      </c>
      <c r="CC171" s="83" t="s">
        <v>2699</v>
      </c>
      <c r="CD171" s="83" t="s">
        <v>2696</v>
      </c>
      <c r="CF171" s="83" t="s">
        <v>2132</v>
      </c>
      <c r="CG171" s="83" t="s">
        <v>2133</v>
      </c>
      <c r="CH171" s="83" t="s">
        <v>2693</v>
      </c>
      <c r="CI171" s="83" t="s">
        <v>3992</v>
      </c>
      <c r="CJ171" s="83" t="s">
        <v>2701</v>
      </c>
      <c r="CK171" s="144">
        <v>0</v>
      </c>
      <c r="CL171"/>
    </row>
    <row r="172" spans="1:90">
      <c r="A172" s="83" t="s">
        <v>1550</v>
      </c>
      <c r="B172" s="83" t="s">
        <v>1630</v>
      </c>
      <c r="D172" s="83" t="s">
        <v>714</v>
      </c>
      <c r="E172" s="83" t="s">
        <v>1676</v>
      </c>
      <c r="F172" s="83" t="s">
        <v>1727</v>
      </c>
      <c r="G172" s="83" t="s">
        <v>1849</v>
      </c>
      <c r="H172" s="83" t="s">
        <v>1201</v>
      </c>
      <c r="I172" s="83" t="s">
        <v>1202</v>
      </c>
      <c r="J172" s="83" t="s">
        <v>1203</v>
      </c>
      <c r="K172" s="83" t="s">
        <v>565</v>
      </c>
      <c r="L172" s="83" t="s">
        <v>398</v>
      </c>
      <c r="M172" s="83" t="s">
        <v>399</v>
      </c>
      <c r="N172" s="83" t="s">
        <v>2743</v>
      </c>
      <c r="O172" s="83" t="s">
        <v>106</v>
      </c>
      <c r="P172" s="83">
        <v>4</v>
      </c>
      <c r="Q172" s="83" t="s">
        <v>106</v>
      </c>
      <c r="R172" s="83" t="s">
        <v>2691</v>
      </c>
      <c r="S172" s="83" t="s">
        <v>2712</v>
      </c>
      <c r="T172" s="83" t="s">
        <v>2703</v>
      </c>
      <c r="U172" s="83" t="s">
        <v>401</v>
      </c>
      <c r="AC172" s="83" t="s">
        <v>401</v>
      </c>
      <c r="AD172" s="83">
        <v>220000</v>
      </c>
      <c r="AF172" s="83">
        <v>0</v>
      </c>
      <c r="AJ172" s="83">
        <v>1</v>
      </c>
      <c r="AK172" s="83">
        <v>1</v>
      </c>
      <c r="AL172" s="83">
        <v>1960</v>
      </c>
      <c r="AM172" s="83" t="s">
        <v>2693</v>
      </c>
      <c r="BK172" s="83" t="s">
        <v>2694</v>
      </c>
      <c r="BL172" s="83" t="s">
        <v>2704</v>
      </c>
      <c r="BM172" s="83" t="s">
        <v>2698</v>
      </c>
      <c r="BN172" s="83" t="s">
        <v>2699</v>
      </c>
      <c r="BO172" s="83" t="s">
        <v>2697</v>
      </c>
      <c r="BP172" s="83" t="s">
        <v>2695</v>
      </c>
      <c r="BQ172" s="83" t="s">
        <v>2693</v>
      </c>
      <c r="BR172" s="83" t="s">
        <v>2693</v>
      </c>
      <c r="BS172" s="83" t="s">
        <v>2699</v>
      </c>
      <c r="BT172" s="83">
        <v>0</v>
      </c>
      <c r="BU172" s="83" t="s">
        <v>2699</v>
      </c>
      <c r="BV172" s="83" t="s">
        <v>2696</v>
      </c>
      <c r="BW172" s="83" t="s">
        <v>2699</v>
      </c>
      <c r="BX172" s="83" t="s">
        <v>2696</v>
      </c>
      <c r="BY172" s="83" t="s">
        <v>2699</v>
      </c>
      <c r="BZ172" s="83" t="s">
        <v>2693</v>
      </c>
      <c r="CA172" s="83" t="s">
        <v>2699</v>
      </c>
      <c r="CB172" s="83">
        <v>0</v>
      </c>
      <c r="CC172" s="83" t="s">
        <v>2699</v>
      </c>
      <c r="CD172" s="83" t="s">
        <v>2696</v>
      </c>
      <c r="CF172" s="83" t="s">
        <v>2134</v>
      </c>
      <c r="CG172" s="83" t="s">
        <v>2135</v>
      </c>
      <c r="CH172" s="83" t="s">
        <v>2693</v>
      </c>
      <c r="CI172" s="83" t="s">
        <v>3992</v>
      </c>
      <c r="CJ172" s="83" t="s">
        <v>2701</v>
      </c>
      <c r="CK172" s="144">
        <v>0</v>
      </c>
      <c r="CL172"/>
    </row>
    <row r="173" spans="1:90">
      <c r="A173" s="83" t="s">
        <v>1487</v>
      </c>
      <c r="B173" s="83" t="s">
        <v>2782</v>
      </c>
      <c r="D173" s="83" t="s">
        <v>688</v>
      </c>
      <c r="E173" s="83" t="s">
        <v>2782</v>
      </c>
      <c r="F173" s="83" t="s">
        <v>1728</v>
      </c>
      <c r="G173" s="83" t="s">
        <v>1167</v>
      </c>
      <c r="H173" s="83" t="s">
        <v>1201</v>
      </c>
      <c r="I173" s="83" t="s">
        <v>1202</v>
      </c>
      <c r="J173" s="83" t="s">
        <v>1203</v>
      </c>
      <c r="K173" s="83" t="s">
        <v>565</v>
      </c>
      <c r="L173" s="83" t="s">
        <v>398</v>
      </c>
      <c r="M173" s="83" t="s">
        <v>399</v>
      </c>
      <c r="N173" s="83" t="s">
        <v>2705</v>
      </c>
      <c r="O173" s="83" t="s">
        <v>106</v>
      </c>
      <c r="P173" s="83">
        <v>4</v>
      </c>
      <c r="Q173" s="83" t="s">
        <v>106</v>
      </c>
      <c r="R173" s="83" t="s">
        <v>2691</v>
      </c>
      <c r="S173" s="83" t="s">
        <v>2720</v>
      </c>
      <c r="T173" s="83" t="s">
        <v>2769</v>
      </c>
      <c r="U173" s="83" t="s">
        <v>401</v>
      </c>
      <c r="AC173" s="83" t="s">
        <v>401</v>
      </c>
      <c r="AD173" s="83">
        <v>191000</v>
      </c>
      <c r="AF173" s="83">
        <v>0</v>
      </c>
      <c r="AJ173" s="83">
        <v>1</v>
      </c>
      <c r="AK173" s="83">
        <v>2</v>
      </c>
      <c r="AL173" s="83">
        <v>2200</v>
      </c>
      <c r="AM173" s="83" t="s">
        <v>2693</v>
      </c>
      <c r="BK173" s="83" t="s">
        <v>2694</v>
      </c>
      <c r="BL173" s="83" t="s">
        <v>2704</v>
      </c>
      <c r="BM173" s="83" t="s">
        <v>2697</v>
      </c>
      <c r="BN173" s="83" t="s">
        <v>2693</v>
      </c>
      <c r="BO173" s="83" t="s">
        <v>2697</v>
      </c>
      <c r="BP173" s="83" t="s">
        <v>2698</v>
      </c>
      <c r="BQ173" s="83" t="s">
        <v>2693</v>
      </c>
      <c r="BR173" s="83" t="s">
        <v>2693</v>
      </c>
      <c r="BS173" s="83" t="s">
        <v>2699</v>
      </c>
      <c r="BT173" s="83">
        <v>0</v>
      </c>
      <c r="BU173" s="83" t="s">
        <v>2699</v>
      </c>
      <c r="BV173" s="83" t="s">
        <v>2696</v>
      </c>
      <c r="BW173" s="83" t="s">
        <v>2698</v>
      </c>
      <c r="BX173" s="83" t="s">
        <v>2696</v>
      </c>
      <c r="BY173" s="83" t="s">
        <v>2699</v>
      </c>
      <c r="BZ173" s="83" t="s">
        <v>2699</v>
      </c>
      <c r="CA173" s="83" t="s">
        <v>2693</v>
      </c>
      <c r="CB173" s="83">
        <v>9</v>
      </c>
      <c r="CC173" s="83" t="s">
        <v>2696</v>
      </c>
      <c r="CD173" s="83" t="s">
        <v>2696</v>
      </c>
      <c r="CF173" s="83" t="s">
        <v>2206</v>
      </c>
      <c r="CG173" s="83" t="s">
        <v>2207</v>
      </c>
      <c r="CH173" s="83" t="s">
        <v>2693</v>
      </c>
      <c r="CI173" s="83" t="s">
        <v>3992</v>
      </c>
      <c r="CJ173" s="83" t="s">
        <v>2701</v>
      </c>
      <c r="CK173" s="144">
        <v>0</v>
      </c>
      <c r="CL173" s="99">
        <v>88000</v>
      </c>
    </row>
    <row r="174" spans="1:90">
      <c r="A174" s="83" t="s">
        <v>1551</v>
      </c>
      <c r="B174" s="83" t="s">
        <v>2783</v>
      </c>
      <c r="D174" s="83" t="s">
        <v>688</v>
      </c>
      <c r="E174" s="83" t="s">
        <v>2784</v>
      </c>
      <c r="F174" s="83" t="s">
        <v>1729</v>
      </c>
      <c r="G174" s="83" t="s">
        <v>1850</v>
      </c>
      <c r="H174" s="83" t="s">
        <v>1201</v>
      </c>
      <c r="I174" s="83" t="s">
        <v>1202</v>
      </c>
      <c r="J174" s="83" t="s">
        <v>1203</v>
      </c>
      <c r="K174" s="83" t="s">
        <v>565</v>
      </c>
      <c r="L174" s="83" t="s">
        <v>398</v>
      </c>
      <c r="M174" s="83" t="s">
        <v>399</v>
      </c>
      <c r="N174" s="83" t="s">
        <v>2709</v>
      </c>
      <c r="O174" s="83" t="s">
        <v>106</v>
      </c>
      <c r="P174" s="83">
        <v>4</v>
      </c>
      <c r="Q174" s="83" t="s">
        <v>106</v>
      </c>
      <c r="R174" s="83" t="s">
        <v>2691</v>
      </c>
      <c r="S174" s="83" t="s">
        <v>1455</v>
      </c>
      <c r="T174" s="83" t="s">
        <v>2703</v>
      </c>
      <c r="U174" s="83" t="s">
        <v>401</v>
      </c>
      <c r="AC174" s="83" t="s">
        <v>401</v>
      </c>
      <c r="AD174" s="83">
        <v>190000</v>
      </c>
      <c r="AF174" s="83">
        <v>0</v>
      </c>
      <c r="AJ174" s="83">
        <v>1</v>
      </c>
      <c r="AK174" s="83">
        <v>1</v>
      </c>
      <c r="AL174" s="83">
        <v>2296</v>
      </c>
      <c r="AM174" s="83" t="s">
        <v>2693</v>
      </c>
      <c r="BK174" s="83" t="s">
        <v>2694</v>
      </c>
      <c r="BL174" s="83" t="s">
        <v>2695</v>
      </c>
      <c r="BM174" s="83" t="s">
        <v>2699</v>
      </c>
      <c r="BN174" s="83" t="s">
        <v>2698</v>
      </c>
      <c r="BO174" s="83" t="s">
        <v>2697</v>
      </c>
      <c r="BP174" s="83" t="s">
        <v>2697</v>
      </c>
      <c r="BQ174" s="83" t="s">
        <v>2699</v>
      </c>
      <c r="BR174" s="83" t="s">
        <v>2699</v>
      </c>
      <c r="BS174" s="83" t="s">
        <v>2699</v>
      </c>
      <c r="BT174" s="83">
        <v>0</v>
      </c>
      <c r="BU174" s="83" t="s">
        <v>2699</v>
      </c>
      <c r="BV174" s="83" t="s">
        <v>2696</v>
      </c>
      <c r="BW174" s="83" t="s">
        <v>2698</v>
      </c>
      <c r="BX174" s="83" t="s">
        <v>2696</v>
      </c>
      <c r="BY174" s="83" t="s">
        <v>2699</v>
      </c>
      <c r="BZ174" s="83" t="s">
        <v>2693</v>
      </c>
      <c r="CA174" s="83" t="s">
        <v>2693</v>
      </c>
      <c r="CB174" s="83">
        <v>9</v>
      </c>
      <c r="CC174" s="83" t="s">
        <v>2699</v>
      </c>
      <c r="CD174" s="83" t="s">
        <v>2696</v>
      </c>
      <c r="CF174" s="83" t="s">
        <v>2061</v>
      </c>
      <c r="CG174" s="83" t="s">
        <v>2062</v>
      </c>
      <c r="CH174" s="83" t="s">
        <v>2693</v>
      </c>
      <c r="CI174" s="83" t="s">
        <v>3992</v>
      </c>
      <c r="CJ174" s="83" t="s">
        <v>2701</v>
      </c>
      <c r="CK174" s="144">
        <v>0</v>
      </c>
      <c r="CL174" s="99">
        <v>526000</v>
      </c>
    </row>
    <row r="175" spans="1:90">
      <c r="A175" s="83" t="s">
        <v>1552</v>
      </c>
      <c r="B175" s="83" t="s">
        <v>1631</v>
      </c>
      <c r="D175" s="83" t="s">
        <v>688</v>
      </c>
      <c r="E175" s="83" t="s">
        <v>2718</v>
      </c>
      <c r="F175" s="83" t="s">
        <v>1730</v>
      </c>
      <c r="G175" s="83" t="s">
        <v>1851</v>
      </c>
      <c r="H175" s="83" t="s">
        <v>1201</v>
      </c>
      <c r="I175" s="83" t="s">
        <v>1202</v>
      </c>
      <c r="J175" s="83" t="s">
        <v>1203</v>
      </c>
      <c r="K175" s="83" t="s">
        <v>565</v>
      </c>
      <c r="L175" s="83" t="s">
        <v>398</v>
      </c>
      <c r="M175" s="83" t="s">
        <v>399</v>
      </c>
      <c r="N175" s="83" t="s">
        <v>2709</v>
      </c>
      <c r="O175" s="83" t="s">
        <v>106</v>
      </c>
      <c r="P175" s="83">
        <v>5</v>
      </c>
      <c r="Q175" s="83" t="s">
        <v>106</v>
      </c>
      <c r="R175" s="83" t="s">
        <v>2691</v>
      </c>
      <c r="S175" s="83" t="s">
        <v>1451</v>
      </c>
      <c r="T175" s="83" t="s">
        <v>2703</v>
      </c>
      <c r="U175" s="83" t="s">
        <v>401</v>
      </c>
      <c r="AC175" s="83" t="s">
        <v>401</v>
      </c>
      <c r="AD175" s="83">
        <v>1464000</v>
      </c>
      <c r="AF175" s="83">
        <v>0</v>
      </c>
      <c r="AJ175" s="83">
        <v>1</v>
      </c>
      <c r="AK175" s="83">
        <v>2</v>
      </c>
      <c r="AL175" s="83">
        <v>3600</v>
      </c>
      <c r="AM175" s="83" t="s">
        <v>2693</v>
      </c>
      <c r="BK175" s="83" t="s">
        <v>2694</v>
      </c>
      <c r="BL175" s="83" t="s">
        <v>2698</v>
      </c>
      <c r="BM175" s="83" t="s">
        <v>2693</v>
      </c>
      <c r="BN175" s="83" t="s">
        <v>2698</v>
      </c>
      <c r="BO175" s="83" t="s">
        <v>2697</v>
      </c>
      <c r="BP175" s="83" t="s">
        <v>2699</v>
      </c>
      <c r="BQ175" s="83" t="s">
        <v>2693</v>
      </c>
      <c r="BR175" s="83" t="s">
        <v>2693</v>
      </c>
      <c r="BS175" s="83" t="s">
        <v>2699</v>
      </c>
      <c r="BT175" s="83" t="s">
        <v>2696</v>
      </c>
      <c r="BU175" s="83" t="s">
        <v>2699</v>
      </c>
      <c r="BV175" s="83" t="s">
        <v>2696</v>
      </c>
      <c r="BW175" s="83" t="s">
        <v>2698</v>
      </c>
      <c r="BX175" s="83" t="s">
        <v>2696</v>
      </c>
      <c r="BY175" s="83" t="s">
        <v>2699</v>
      </c>
      <c r="BZ175" s="83" t="s">
        <v>2699</v>
      </c>
      <c r="CA175" s="83" t="s">
        <v>2693</v>
      </c>
      <c r="CB175" s="83">
        <v>0</v>
      </c>
      <c r="CC175" s="83" t="s">
        <v>2696</v>
      </c>
      <c r="CD175" s="83" t="s">
        <v>2696</v>
      </c>
      <c r="CF175" s="83" t="s">
        <v>2145</v>
      </c>
      <c r="CG175" s="83" t="s">
        <v>2146</v>
      </c>
      <c r="CH175" s="83" t="s">
        <v>2725</v>
      </c>
      <c r="CI175" s="83" t="s">
        <v>778</v>
      </c>
      <c r="CJ175" s="83" t="s">
        <v>2780</v>
      </c>
      <c r="CK175" s="144">
        <v>2</v>
      </c>
      <c r="CL175" s="99">
        <v>83000</v>
      </c>
    </row>
    <row r="176" spans="1:90">
      <c r="A176" s="83" t="s">
        <v>1553</v>
      </c>
      <c r="B176" s="83" t="s">
        <v>1632</v>
      </c>
      <c r="D176" s="83" t="s">
        <v>688</v>
      </c>
      <c r="E176" s="83" t="s">
        <v>2785</v>
      </c>
      <c r="F176" s="83" t="s">
        <v>1731</v>
      </c>
      <c r="G176" s="83" t="s">
        <v>1852</v>
      </c>
      <c r="H176" s="83" t="s">
        <v>1201</v>
      </c>
      <c r="I176" s="83" t="s">
        <v>1202</v>
      </c>
      <c r="J176" s="83" t="s">
        <v>1203</v>
      </c>
      <c r="K176" s="83" t="s">
        <v>565</v>
      </c>
      <c r="L176" s="83" t="s">
        <v>398</v>
      </c>
      <c r="M176" s="83" t="s">
        <v>399</v>
      </c>
      <c r="N176" s="83" t="s">
        <v>2690</v>
      </c>
      <c r="O176" s="83" t="s">
        <v>106</v>
      </c>
      <c r="P176" s="83">
        <v>5</v>
      </c>
      <c r="Q176" s="83" t="s">
        <v>106</v>
      </c>
      <c r="R176" s="83" t="s">
        <v>2691</v>
      </c>
      <c r="S176" s="83" t="s">
        <v>1451</v>
      </c>
      <c r="T176" s="83" t="s">
        <v>2703</v>
      </c>
      <c r="U176" s="83" t="s">
        <v>401</v>
      </c>
      <c r="AC176" s="83" t="s">
        <v>401</v>
      </c>
      <c r="AD176" s="83">
        <v>50000</v>
      </c>
      <c r="AF176" s="83">
        <v>0</v>
      </c>
      <c r="AJ176" s="83">
        <v>1</v>
      </c>
      <c r="AK176" s="83">
        <v>1</v>
      </c>
      <c r="AL176" s="83">
        <v>440</v>
      </c>
      <c r="AM176" s="83" t="s">
        <v>2693</v>
      </c>
      <c r="BK176" s="83" t="s">
        <v>2694</v>
      </c>
      <c r="BL176" s="83" t="s">
        <v>2698</v>
      </c>
      <c r="BM176" s="83" t="s">
        <v>2693</v>
      </c>
      <c r="BN176" s="83" t="s">
        <v>2696</v>
      </c>
      <c r="BO176" s="83" t="s">
        <v>2697</v>
      </c>
      <c r="BP176" s="83" t="s">
        <v>2699</v>
      </c>
      <c r="BQ176" s="83" t="s">
        <v>2693</v>
      </c>
      <c r="BR176" s="83" t="s">
        <v>2693</v>
      </c>
      <c r="BS176" s="83" t="s">
        <v>2699</v>
      </c>
      <c r="BT176" s="83">
        <v>0</v>
      </c>
      <c r="BU176" s="83" t="s">
        <v>2699</v>
      </c>
      <c r="BV176" s="83" t="s">
        <v>2696</v>
      </c>
      <c r="BW176" s="83" t="s">
        <v>2699</v>
      </c>
      <c r="BX176" s="83" t="s">
        <v>2696</v>
      </c>
      <c r="BY176" s="83" t="s">
        <v>2699</v>
      </c>
      <c r="BZ176" s="83" t="s">
        <v>2693</v>
      </c>
      <c r="CA176" s="83" t="s">
        <v>2693</v>
      </c>
      <c r="CB176" s="83">
        <v>9</v>
      </c>
      <c r="CC176" s="83" t="s">
        <v>2699</v>
      </c>
      <c r="CD176" s="83" t="s">
        <v>2696</v>
      </c>
      <c r="CF176" s="83" t="s">
        <v>2074</v>
      </c>
      <c r="CG176" s="83" t="s">
        <v>591</v>
      </c>
      <c r="CH176" s="83" t="s">
        <v>2725</v>
      </c>
      <c r="CI176" s="83" t="s">
        <v>1358</v>
      </c>
      <c r="CJ176" s="83" t="s">
        <v>2726</v>
      </c>
      <c r="CK176" s="144">
        <v>0</v>
      </c>
      <c r="CL176"/>
    </row>
    <row r="177" spans="1:90">
      <c r="A177" s="83" t="s">
        <v>1554</v>
      </c>
      <c r="B177" s="83" t="s">
        <v>967</v>
      </c>
      <c r="D177" s="83" t="s">
        <v>688</v>
      </c>
      <c r="E177" s="83" t="s">
        <v>894</v>
      </c>
      <c r="F177" s="83" t="s">
        <v>1732</v>
      </c>
      <c r="G177" s="83" t="s">
        <v>1837</v>
      </c>
      <c r="H177" s="83" t="s">
        <v>1201</v>
      </c>
      <c r="I177" s="83" t="s">
        <v>1202</v>
      </c>
      <c r="J177" s="83" t="s">
        <v>1203</v>
      </c>
      <c r="K177" s="83" t="s">
        <v>565</v>
      </c>
      <c r="L177" s="83" t="s">
        <v>398</v>
      </c>
      <c r="M177" s="83" t="s">
        <v>399</v>
      </c>
      <c r="N177" s="83" t="s">
        <v>2778</v>
      </c>
      <c r="O177" s="83" t="s">
        <v>106</v>
      </c>
      <c r="P177" s="83">
        <v>1</v>
      </c>
      <c r="Q177" s="83" t="s">
        <v>106</v>
      </c>
      <c r="R177" s="83" t="s">
        <v>2691</v>
      </c>
      <c r="S177" s="83" t="s">
        <v>2759</v>
      </c>
      <c r="T177" s="83" t="s">
        <v>2703</v>
      </c>
      <c r="U177" s="83" t="s">
        <v>401</v>
      </c>
      <c r="AC177" s="83" t="s">
        <v>401</v>
      </c>
      <c r="AD177" s="83">
        <v>80000</v>
      </c>
      <c r="AF177" s="83">
        <v>2000</v>
      </c>
      <c r="AJ177" s="83">
        <v>1</v>
      </c>
      <c r="AK177" s="83">
        <v>1</v>
      </c>
      <c r="AL177" s="83">
        <v>695</v>
      </c>
      <c r="AM177" s="83" t="s">
        <v>2693</v>
      </c>
      <c r="BK177" s="83" t="s">
        <v>2694</v>
      </c>
      <c r="BL177" s="83" t="s">
        <v>2704</v>
      </c>
      <c r="BM177" s="83" t="s">
        <v>2693</v>
      </c>
      <c r="BN177" s="83" t="s">
        <v>2693</v>
      </c>
      <c r="BO177" s="83" t="s">
        <v>2697</v>
      </c>
      <c r="BP177" s="83" t="s">
        <v>2698</v>
      </c>
      <c r="BQ177" s="83" t="s">
        <v>2693</v>
      </c>
      <c r="BR177" s="83" t="s">
        <v>2693</v>
      </c>
      <c r="BS177" s="83" t="s">
        <v>2699</v>
      </c>
      <c r="BT177" s="83">
        <v>0</v>
      </c>
      <c r="BU177" s="83" t="s">
        <v>2699</v>
      </c>
      <c r="BV177" s="83" t="s">
        <v>2696</v>
      </c>
      <c r="BW177" s="83" t="s">
        <v>2697</v>
      </c>
      <c r="BX177" s="83" t="s">
        <v>2693</v>
      </c>
      <c r="BY177" s="83" t="s">
        <v>2699</v>
      </c>
      <c r="BZ177" s="83" t="s">
        <v>2699</v>
      </c>
      <c r="CA177" s="83" t="s">
        <v>2693</v>
      </c>
      <c r="CB177" s="83">
        <v>9</v>
      </c>
      <c r="CC177" s="83" t="s">
        <v>2696</v>
      </c>
      <c r="CD177" s="83" t="s">
        <v>2696</v>
      </c>
      <c r="CF177" s="83" t="s">
        <v>2081</v>
      </c>
      <c r="CG177" s="83" t="s">
        <v>2082</v>
      </c>
      <c r="CH177" s="83" t="s">
        <v>2699</v>
      </c>
      <c r="CI177" s="83">
        <v>1</v>
      </c>
      <c r="CJ177" s="83" t="s">
        <v>2734</v>
      </c>
      <c r="CK177" s="144">
        <v>0</v>
      </c>
      <c r="CL177" s="99">
        <v>23000</v>
      </c>
    </row>
    <row r="178" spans="1:90">
      <c r="A178" s="83" t="s">
        <v>1516</v>
      </c>
      <c r="B178" s="83" t="s">
        <v>2786</v>
      </c>
      <c r="D178" s="83" t="s">
        <v>688</v>
      </c>
      <c r="E178" s="83" t="s">
        <v>1012</v>
      </c>
      <c r="F178" s="83" t="s">
        <v>1733</v>
      </c>
      <c r="G178" s="83" t="s">
        <v>1853</v>
      </c>
      <c r="H178" s="83" t="s">
        <v>1201</v>
      </c>
      <c r="I178" s="83" t="s">
        <v>1202</v>
      </c>
      <c r="J178" s="83" t="s">
        <v>1203</v>
      </c>
      <c r="K178" s="83" t="s">
        <v>565</v>
      </c>
      <c r="L178" s="83" t="s">
        <v>398</v>
      </c>
      <c r="M178" s="83" t="s">
        <v>399</v>
      </c>
      <c r="N178" s="83" t="s">
        <v>2743</v>
      </c>
      <c r="O178" s="83" t="s">
        <v>106</v>
      </c>
      <c r="P178" s="83">
        <v>4</v>
      </c>
      <c r="Q178" s="83" t="s">
        <v>106</v>
      </c>
      <c r="R178" s="83" t="s">
        <v>2691</v>
      </c>
      <c r="S178" s="83" t="s">
        <v>2714</v>
      </c>
      <c r="T178" s="83" t="s">
        <v>2703</v>
      </c>
      <c r="U178" s="83" t="s">
        <v>401</v>
      </c>
      <c r="AC178" s="83" t="s">
        <v>401</v>
      </c>
      <c r="AD178" s="83">
        <v>344000</v>
      </c>
      <c r="AF178" s="83">
        <v>0</v>
      </c>
      <c r="AJ178" s="83">
        <v>1</v>
      </c>
      <c r="AK178" s="83">
        <v>1</v>
      </c>
      <c r="AL178" s="83">
        <v>2880</v>
      </c>
      <c r="AM178" s="83" t="s">
        <v>2693</v>
      </c>
      <c r="BK178" s="83" t="s">
        <v>2694</v>
      </c>
      <c r="BL178" s="83" t="s">
        <v>2699</v>
      </c>
      <c r="BM178" s="83" t="s">
        <v>2698</v>
      </c>
      <c r="BN178" s="83" t="s">
        <v>2693</v>
      </c>
      <c r="BO178" s="83" t="s">
        <v>2697</v>
      </c>
      <c r="BP178" s="83" t="s">
        <v>2695</v>
      </c>
      <c r="BQ178" s="83" t="s">
        <v>2699</v>
      </c>
      <c r="BR178" s="83" t="s">
        <v>2693</v>
      </c>
      <c r="BS178" s="83" t="s">
        <v>2699</v>
      </c>
      <c r="BT178" s="83">
        <v>0</v>
      </c>
      <c r="BU178" s="83" t="s">
        <v>2699</v>
      </c>
      <c r="BV178" s="83" t="s">
        <v>2696</v>
      </c>
      <c r="BW178" s="83" t="s">
        <v>2695</v>
      </c>
      <c r="BX178" s="83" t="s">
        <v>2696</v>
      </c>
      <c r="BY178" s="83" t="s">
        <v>2699</v>
      </c>
      <c r="BZ178" s="83" t="s">
        <v>2693</v>
      </c>
      <c r="CA178" s="83" t="s">
        <v>2693</v>
      </c>
      <c r="CB178" s="83">
        <v>9</v>
      </c>
      <c r="CC178" s="83" t="s">
        <v>2699</v>
      </c>
      <c r="CD178" s="83" t="s">
        <v>2696</v>
      </c>
      <c r="CF178" s="83" t="s">
        <v>2031</v>
      </c>
      <c r="CG178" s="83" t="s">
        <v>2032</v>
      </c>
      <c r="CH178" s="83" t="s">
        <v>2693</v>
      </c>
      <c r="CI178" s="83" t="s">
        <v>3992</v>
      </c>
      <c r="CJ178" s="83" t="s">
        <v>2701</v>
      </c>
      <c r="CK178" s="144">
        <v>1</v>
      </c>
      <c r="CL178" s="99">
        <v>148000</v>
      </c>
    </row>
    <row r="179" spans="1:90">
      <c r="A179" s="83" t="s">
        <v>1515</v>
      </c>
      <c r="B179" s="83" t="s">
        <v>1633</v>
      </c>
      <c r="D179" s="83" t="s">
        <v>688</v>
      </c>
      <c r="E179" s="83" t="s">
        <v>1012</v>
      </c>
      <c r="F179" s="83" t="s">
        <v>1734</v>
      </c>
      <c r="G179" s="83" t="s">
        <v>1854</v>
      </c>
      <c r="H179" s="83" t="s">
        <v>1201</v>
      </c>
      <c r="I179" s="83" t="s">
        <v>1202</v>
      </c>
      <c r="J179" s="83" t="s">
        <v>1203</v>
      </c>
      <c r="K179" s="83" t="s">
        <v>565</v>
      </c>
      <c r="L179" s="83" t="s">
        <v>398</v>
      </c>
      <c r="M179" s="83" t="s">
        <v>399</v>
      </c>
      <c r="N179" s="83" t="s">
        <v>2743</v>
      </c>
      <c r="O179" s="83" t="s">
        <v>106</v>
      </c>
      <c r="P179" s="83">
        <v>4</v>
      </c>
      <c r="Q179" s="83" t="s">
        <v>106</v>
      </c>
      <c r="R179" s="83" t="s">
        <v>2691</v>
      </c>
      <c r="S179" s="83" t="s">
        <v>1456</v>
      </c>
      <c r="T179" s="83" t="s">
        <v>2703</v>
      </c>
      <c r="U179" s="83" t="s">
        <v>401</v>
      </c>
      <c r="AC179" s="83" t="s">
        <v>401</v>
      </c>
      <c r="AD179" s="83">
        <v>710000</v>
      </c>
      <c r="AF179" s="83">
        <v>0</v>
      </c>
      <c r="AJ179" s="83">
        <v>1</v>
      </c>
      <c r="AK179" s="83">
        <v>1</v>
      </c>
      <c r="AL179" s="83">
        <v>6048</v>
      </c>
      <c r="AM179" s="83" t="s">
        <v>2693</v>
      </c>
      <c r="BK179" s="83" t="s">
        <v>2694</v>
      </c>
      <c r="BL179" s="83" t="s">
        <v>2704</v>
      </c>
      <c r="BM179" s="83" t="s">
        <v>2698</v>
      </c>
      <c r="BN179" s="83" t="s">
        <v>2693</v>
      </c>
      <c r="BO179" s="83" t="s">
        <v>2697</v>
      </c>
      <c r="BP179" s="83" t="s">
        <v>2695</v>
      </c>
      <c r="BQ179" s="83" t="s">
        <v>2699</v>
      </c>
      <c r="BR179" s="83" t="s">
        <v>2693</v>
      </c>
      <c r="BS179" s="83" t="s">
        <v>2699</v>
      </c>
      <c r="BT179" s="83">
        <v>0</v>
      </c>
      <c r="BU179" s="83" t="s">
        <v>2699</v>
      </c>
      <c r="BV179" s="83" t="s">
        <v>2696</v>
      </c>
      <c r="BW179" s="83" t="s">
        <v>2699</v>
      </c>
      <c r="BX179" s="83" t="s">
        <v>2699</v>
      </c>
      <c r="BY179" s="83" t="s">
        <v>2699</v>
      </c>
      <c r="BZ179" s="83" t="s">
        <v>2693</v>
      </c>
      <c r="CA179" s="83" t="s">
        <v>2693</v>
      </c>
      <c r="CB179" s="83">
        <v>9</v>
      </c>
      <c r="CC179" s="83" t="s">
        <v>2699</v>
      </c>
      <c r="CD179" s="83" t="s">
        <v>2699</v>
      </c>
      <c r="CF179" s="83" t="s">
        <v>2029</v>
      </c>
      <c r="CG179" s="83" t="s">
        <v>2030</v>
      </c>
      <c r="CH179" s="83" t="s">
        <v>2693</v>
      </c>
      <c r="CI179" s="83" t="s">
        <v>3992</v>
      </c>
      <c r="CJ179" s="83" t="s">
        <v>2701</v>
      </c>
      <c r="CK179" s="144">
        <v>0</v>
      </c>
      <c r="CL179" s="99">
        <v>15000</v>
      </c>
    </row>
    <row r="180" spans="1:90">
      <c r="A180" s="83" t="s">
        <v>1555</v>
      </c>
      <c r="B180" s="83" t="s">
        <v>968</v>
      </c>
      <c r="D180" s="83" t="s">
        <v>688</v>
      </c>
      <c r="E180" s="83" t="s">
        <v>1012</v>
      </c>
      <c r="F180" s="83" t="s">
        <v>1735</v>
      </c>
      <c r="G180" s="83" t="s">
        <v>1855</v>
      </c>
      <c r="H180" s="83" t="s">
        <v>1201</v>
      </c>
      <c r="I180" s="83" t="s">
        <v>1202</v>
      </c>
      <c r="J180" s="83" t="s">
        <v>1203</v>
      </c>
      <c r="K180" s="83" t="s">
        <v>565</v>
      </c>
      <c r="L180" s="83" t="s">
        <v>398</v>
      </c>
      <c r="M180" s="83" t="s">
        <v>399</v>
      </c>
      <c r="N180" s="83" t="s">
        <v>2778</v>
      </c>
      <c r="O180" s="83" t="s">
        <v>106</v>
      </c>
      <c r="P180" s="83">
        <v>4</v>
      </c>
      <c r="Q180" s="83" t="s">
        <v>106</v>
      </c>
      <c r="R180" s="83" t="s">
        <v>2691</v>
      </c>
      <c r="S180" s="83" t="s">
        <v>2714</v>
      </c>
      <c r="T180" s="83" t="s">
        <v>2703</v>
      </c>
      <c r="U180" s="83" t="s">
        <v>401</v>
      </c>
      <c r="AC180" s="83" t="s">
        <v>401</v>
      </c>
      <c r="AD180" s="83">
        <v>251000</v>
      </c>
      <c r="AF180" s="83">
        <v>22000</v>
      </c>
      <c r="AJ180" s="83">
        <v>1</v>
      </c>
      <c r="AK180" s="83">
        <v>1</v>
      </c>
      <c r="AL180" s="83">
        <v>2267</v>
      </c>
      <c r="AM180" s="83" t="s">
        <v>2693</v>
      </c>
      <c r="BK180" s="83" t="s">
        <v>2694</v>
      </c>
      <c r="BL180" s="83" t="s">
        <v>2704</v>
      </c>
      <c r="BM180" s="83" t="s">
        <v>2697</v>
      </c>
      <c r="BN180" s="83" t="s">
        <v>2699</v>
      </c>
      <c r="BO180" s="83" t="s">
        <v>2697</v>
      </c>
      <c r="BP180" s="83" t="s">
        <v>2695</v>
      </c>
      <c r="BQ180" s="83" t="s">
        <v>2693</v>
      </c>
      <c r="BR180" s="83" t="s">
        <v>2693</v>
      </c>
      <c r="BS180" s="83" t="s">
        <v>2699</v>
      </c>
      <c r="BT180" s="83">
        <v>0</v>
      </c>
      <c r="BU180" s="83" t="s">
        <v>2699</v>
      </c>
      <c r="BV180" s="83" t="s">
        <v>2696</v>
      </c>
      <c r="BW180" s="83" t="s">
        <v>2698</v>
      </c>
      <c r="BX180" s="83" t="s">
        <v>2696</v>
      </c>
      <c r="BY180" s="83" t="s">
        <v>2699</v>
      </c>
      <c r="BZ180" s="83" t="s">
        <v>2693</v>
      </c>
      <c r="CA180" s="83" t="s">
        <v>2693</v>
      </c>
      <c r="CB180" s="83">
        <v>9</v>
      </c>
      <c r="CC180" s="83" t="s">
        <v>2699</v>
      </c>
      <c r="CD180" s="83" t="s">
        <v>2696</v>
      </c>
      <c r="CF180" s="83" t="s">
        <v>2089</v>
      </c>
      <c r="CG180" s="83" t="s">
        <v>2090</v>
      </c>
      <c r="CH180" s="83" t="s">
        <v>2693</v>
      </c>
      <c r="CI180" s="83" t="s">
        <v>3992</v>
      </c>
      <c r="CJ180" s="83" t="s">
        <v>2701</v>
      </c>
      <c r="CK180" s="144">
        <v>0</v>
      </c>
      <c r="CL180" s="99">
        <v>122000</v>
      </c>
    </row>
    <row r="181" spans="1:90">
      <c r="A181" s="83" t="s">
        <v>2512</v>
      </c>
      <c r="B181" s="83" t="s">
        <v>2942</v>
      </c>
      <c r="D181" s="83" t="s">
        <v>688</v>
      </c>
      <c r="E181" s="83" t="s">
        <v>2513</v>
      </c>
      <c r="F181" s="83" t="s">
        <v>2943</v>
      </c>
      <c r="G181" s="83" t="s">
        <v>2276</v>
      </c>
      <c r="H181" s="83" t="s">
        <v>1201</v>
      </c>
      <c r="I181" s="83" t="s">
        <v>1202</v>
      </c>
      <c r="J181" s="83" t="s">
        <v>1203</v>
      </c>
      <c r="K181" s="83" t="s">
        <v>565</v>
      </c>
      <c r="L181" s="83" t="s">
        <v>398</v>
      </c>
      <c r="M181" s="83" t="s">
        <v>399</v>
      </c>
      <c r="N181" s="83" t="s">
        <v>2899</v>
      </c>
      <c r="O181" s="83" t="s">
        <v>106</v>
      </c>
      <c r="P181" s="83">
        <v>4</v>
      </c>
      <c r="Q181" s="83" t="s">
        <v>106</v>
      </c>
      <c r="R181" s="83" t="s">
        <v>2727</v>
      </c>
      <c r="S181" s="83" t="s">
        <v>2712</v>
      </c>
      <c r="T181" s="83" t="s">
        <v>2843</v>
      </c>
      <c r="U181" s="83" t="s">
        <v>401</v>
      </c>
      <c r="AC181" s="83" t="s">
        <v>401</v>
      </c>
      <c r="AD181" s="83">
        <v>182000</v>
      </c>
      <c r="AF181" s="83">
        <v>17000</v>
      </c>
      <c r="AJ181" s="83">
        <v>1</v>
      </c>
      <c r="AK181" s="83">
        <v>1</v>
      </c>
      <c r="AL181" s="83">
        <v>1680</v>
      </c>
      <c r="AM181" s="83" t="s">
        <v>2693</v>
      </c>
      <c r="BK181" s="83" t="s">
        <v>2694</v>
      </c>
      <c r="BL181" s="83" t="s">
        <v>2704</v>
      </c>
      <c r="BM181" s="83" t="s">
        <v>2697</v>
      </c>
      <c r="BN181" s="83" t="s">
        <v>2698</v>
      </c>
      <c r="BO181" s="83" t="s">
        <v>2695</v>
      </c>
      <c r="BP181" s="83" t="s">
        <v>2698</v>
      </c>
      <c r="BQ181" s="83" t="s">
        <v>2699</v>
      </c>
      <c r="BR181" s="83" t="s">
        <v>2693</v>
      </c>
      <c r="BS181" s="83" t="s">
        <v>2699</v>
      </c>
      <c r="BT181" s="83" t="s">
        <v>2696</v>
      </c>
      <c r="BU181" s="83" t="s">
        <v>2699</v>
      </c>
      <c r="BV181" s="83" t="s">
        <v>2696</v>
      </c>
      <c r="BW181" s="83" t="s">
        <v>2698</v>
      </c>
      <c r="BX181" s="83" t="s">
        <v>2696</v>
      </c>
      <c r="BY181" s="83" t="s">
        <v>2699</v>
      </c>
      <c r="BZ181" s="83" t="s">
        <v>2693</v>
      </c>
      <c r="CA181" s="83" t="s">
        <v>2693</v>
      </c>
      <c r="CB181" s="83" t="s">
        <v>2694</v>
      </c>
      <c r="CC181" s="83" t="s">
        <v>2699</v>
      </c>
      <c r="CD181" s="83" t="s">
        <v>2696</v>
      </c>
      <c r="CF181" s="83" t="s">
        <v>2944</v>
      </c>
      <c r="CG181" s="83" t="s">
        <v>2214</v>
      </c>
      <c r="CH181" s="83" t="s">
        <v>2693</v>
      </c>
      <c r="CI181" s="83" t="s">
        <v>3992</v>
      </c>
      <c r="CJ181" s="83" t="s">
        <v>2701</v>
      </c>
      <c r="CK181" s="144">
        <v>0</v>
      </c>
      <c r="CL181" s="99">
        <v>293000</v>
      </c>
    </row>
    <row r="182" spans="1:90">
      <c r="A182" s="83" t="s">
        <v>1507</v>
      </c>
      <c r="B182" s="83" t="s">
        <v>740</v>
      </c>
      <c r="D182" s="83" t="s">
        <v>688</v>
      </c>
      <c r="E182" s="83" t="s">
        <v>2787</v>
      </c>
      <c r="F182" s="83" t="s">
        <v>1736</v>
      </c>
      <c r="G182" s="83" t="s">
        <v>1807</v>
      </c>
      <c r="H182" s="83" t="s">
        <v>1201</v>
      </c>
      <c r="I182" s="83" t="s">
        <v>1202</v>
      </c>
      <c r="J182" s="83" t="s">
        <v>1203</v>
      </c>
      <c r="K182" s="83" t="s">
        <v>565</v>
      </c>
      <c r="L182" s="83" t="s">
        <v>398</v>
      </c>
      <c r="M182" s="83" t="s">
        <v>399</v>
      </c>
      <c r="N182" s="83" t="s">
        <v>2743</v>
      </c>
      <c r="O182" s="83" t="s">
        <v>106</v>
      </c>
      <c r="P182" s="83">
        <v>4</v>
      </c>
      <c r="Q182" s="83" t="s">
        <v>106</v>
      </c>
      <c r="R182" s="83" t="s">
        <v>2727</v>
      </c>
      <c r="S182" s="83" t="s">
        <v>2720</v>
      </c>
      <c r="T182" s="83" t="s">
        <v>2720</v>
      </c>
      <c r="U182" s="83" t="s">
        <v>401</v>
      </c>
      <c r="AC182" s="83" t="s">
        <v>401</v>
      </c>
      <c r="AD182" s="83">
        <v>66000</v>
      </c>
      <c r="AF182" s="83">
        <v>0</v>
      </c>
      <c r="AJ182" s="83">
        <v>1</v>
      </c>
      <c r="AK182" s="83">
        <v>1</v>
      </c>
      <c r="AL182" s="83">
        <v>650</v>
      </c>
      <c r="AM182" s="83" t="s">
        <v>2693</v>
      </c>
      <c r="BK182" s="83" t="s">
        <v>2694</v>
      </c>
      <c r="BL182" s="83" t="s">
        <v>2695</v>
      </c>
      <c r="BM182" s="83" t="s">
        <v>2693</v>
      </c>
      <c r="BN182" s="83" t="s">
        <v>2696</v>
      </c>
      <c r="BO182" s="83" t="s">
        <v>2695</v>
      </c>
      <c r="BP182" s="83" t="s">
        <v>2698</v>
      </c>
      <c r="BQ182" s="83" t="s">
        <v>2696</v>
      </c>
      <c r="BR182" s="83" t="s">
        <v>2693</v>
      </c>
      <c r="BS182" s="83" t="s">
        <v>2699</v>
      </c>
      <c r="BT182" s="83">
        <v>0</v>
      </c>
      <c r="BU182" s="83" t="s">
        <v>2699</v>
      </c>
      <c r="BV182" s="83" t="s">
        <v>2696</v>
      </c>
      <c r="BW182" s="83" t="s">
        <v>2699</v>
      </c>
      <c r="BX182" s="83" t="s">
        <v>2696</v>
      </c>
      <c r="BY182" s="83" t="s">
        <v>2699</v>
      </c>
      <c r="BZ182" s="83" t="s">
        <v>2699</v>
      </c>
      <c r="CA182" s="83" t="s">
        <v>2699</v>
      </c>
      <c r="CB182" s="83">
        <v>9</v>
      </c>
      <c r="CC182" s="83" t="s">
        <v>2699</v>
      </c>
      <c r="CD182" s="83" t="s">
        <v>2696</v>
      </c>
      <c r="CF182" s="83" t="s">
        <v>2014</v>
      </c>
      <c r="CG182" s="83" t="s">
        <v>2015</v>
      </c>
      <c r="CH182" s="83" t="s">
        <v>2693</v>
      </c>
      <c r="CI182" s="83" t="s">
        <v>3992</v>
      </c>
      <c r="CJ182" s="83" t="s">
        <v>2701</v>
      </c>
      <c r="CK182" s="144">
        <v>0</v>
      </c>
      <c r="CL182" s="99">
        <v>384000</v>
      </c>
    </row>
    <row r="183" spans="1:90">
      <c r="A183" s="83" t="s">
        <v>1507</v>
      </c>
      <c r="B183" s="83" t="s">
        <v>740</v>
      </c>
      <c r="D183" s="83" t="s">
        <v>673</v>
      </c>
      <c r="E183" s="83" t="s">
        <v>2423</v>
      </c>
      <c r="F183" s="83" t="s">
        <v>1736</v>
      </c>
      <c r="G183" s="83" t="s">
        <v>1807</v>
      </c>
      <c r="H183" s="83" t="s">
        <v>1201</v>
      </c>
      <c r="I183" s="83" t="s">
        <v>1202</v>
      </c>
      <c r="J183" s="83" t="s">
        <v>1203</v>
      </c>
      <c r="K183" s="83" t="s">
        <v>565</v>
      </c>
      <c r="L183" s="83" t="s">
        <v>398</v>
      </c>
      <c r="M183" s="83" t="s">
        <v>399</v>
      </c>
      <c r="N183" s="83" t="s">
        <v>2743</v>
      </c>
      <c r="O183" s="83" t="s">
        <v>106</v>
      </c>
      <c r="P183" s="83">
        <v>4</v>
      </c>
      <c r="Q183" s="83" t="s">
        <v>106</v>
      </c>
      <c r="R183" s="83" t="s">
        <v>2727</v>
      </c>
      <c r="S183" s="83" t="s">
        <v>2720</v>
      </c>
      <c r="T183" s="83" t="s">
        <v>2720</v>
      </c>
      <c r="U183" s="83" t="s">
        <v>401</v>
      </c>
      <c r="AC183" s="83" t="s">
        <v>401</v>
      </c>
      <c r="AD183" s="83">
        <v>33000</v>
      </c>
      <c r="AF183" s="83">
        <v>0</v>
      </c>
      <c r="AJ183" s="83">
        <v>1</v>
      </c>
      <c r="AK183" s="83">
        <v>1</v>
      </c>
      <c r="AL183" s="83">
        <v>456</v>
      </c>
      <c r="AM183" s="83" t="s">
        <v>2693</v>
      </c>
      <c r="BK183" s="83" t="s">
        <v>2694</v>
      </c>
      <c r="BL183" s="83" t="s">
        <v>2704</v>
      </c>
      <c r="BM183" s="83" t="s">
        <v>2697</v>
      </c>
      <c r="BN183" s="83" t="s">
        <v>2699</v>
      </c>
      <c r="BO183" s="83" t="s">
        <v>2697</v>
      </c>
      <c r="BP183" s="83" t="s">
        <v>2698</v>
      </c>
      <c r="BQ183" s="83" t="s">
        <v>2696</v>
      </c>
      <c r="BR183" s="83" t="s">
        <v>2693</v>
      </c>
      <c r="BS183" s="83" t="s">
        <v>2699</v>
      </c>
      <c r="BT183" s="83">
        <v>0</v>
      </c>
      <c r="BU183" s="83" t="s">
        <v>2699</v>
      </c>
      <c r="BV183" s="83" t="s">
        <v>2696</v>
      </c>
      <c r="BW183" s="83" t="s">
        <v>2699</v>
      </c>
      <c r="BX183" s="83" t="s">
        <v>2696</v>
      </c>
      <c r="BY183" s="83" t="s">
        <v>2699</v>
      </c>
      <c r="BZ183" s="83" t="s">
        <v>2699</v>
      </c>
      <c r="CA183" s="83" t="s">
        <v>2699</v>
      </c>
      <c r="CB183" s="83">
        <v>9</v>
      </c>
      <c r="CC183" s="83" t="s">
        <v>2699</v>
      </c>
      <c r="CD183" s="83" t="s">
        <v>2696</v>
      </c>
      <c r="CF183" s="83" t="s">
        <v>2014</v>
      </c>
      <c r="CG183" s="83" t="s">
        <v>2016</v>
      </c>
      <c r="CH183" s="83" t="s">
        <v>2693</v>
      </c>
      <c r="CI183" s="83" t="s">
        <v>3992</v>
      </c>
      <c r="CJ183" s="83" t="s">
        <v>2701</v>
      </c>
      <c r="CK183" s="144">
        <v>0</v>
      </c>
      <c r="CL183"/>
    </row>
    <row r="184" spans="1:90">
      <c r="A184" s="83" t="s">
        <v>2651</v>
      </c>
      <c r="B184" s="83" t="s">
        <v>3241</v>
      </c>
      <c r="D184" s="83" t="s">
        <v>688</v>
      </c>
      <c r="E184" s="83" t="s">
        <v>2482</v>
      </c>
      <c r="F184" s="83" t="s">
        <v>3090</v>
      </c>
      <c r="G184" s="83" t="s">
        <v>2298</v>
      </c>
      <c r="H184" s="83" t="s">
        <v>1201</v>
      </c>
      <c r="I184" s="83" t="s">
        <v>1202</v>
      </c>
      <c r="J184" s="83" t="s">
        <v>1203</v>
      </c>
      <c r="K184" s="83" t="s">
        <v>565</v>
      </c>
      <c r="L184" s="83" t="s">
        <v>398</v>
      </c>
      <c r="M184" s="83" t="s">
        <v>399</v>
      </c>
      <c r="N184" s="83" t="s">
        <v>3228</v>
      </c>
      <c r="O184" s="83" t="s">
        <v>106</v>
      </c>
      <c r="P184" s="83">
        <v>4</v>
      </c>
      <c r="Q184" s="83" t="s">
        <v>106</v>
      </c>
      <c r="R184" s="83" t="s">
        <v>2727</v>
      </c>
      <c r="S184" s="83" t="s">
        <v>2712</v>
      </c>
      <c r="T184" s="83" t="s">
        <v>2843</v>
      </c>
      <c r="U184" s="83" t="s">
        <v>401</v>
      </c>
      <c r="AC184" s="83" t="s">
        <v>401</v>
      </c>
      <c r="AD184" s="83">
        <v>93000</v>
      </c>
      <c r="AF184" s="83">
        <v>38000</v>
      </c>
      <c r="AJ184" s="83">
        <v>1</v>
      </c>
      <c r="AK184" s="83">
        <v>1</v>
      </c>
      <c r="AL184" s="83">
        <v>1484</v>
      </c>
      <c r="AM184" s="83" t="s">
        <v>2693</v>
      </c>
      <c r="BK184" s="83" t="s">
        <v>2694</v>
      </c>
      <c r="BL184" s="83" t="s">
        <v>2704</v>
      </c>
      <c r="BM184" s="83" t="s">
        <v>2698</v>
      </c>
      <c r="BN184" s="83" t="s">
        <v>2698</v>
      </c>
      <c r="BO184" s="83" t="s">
        <v>2697</v>
      </c>
      <c r="BP184" s="83" t="s">
        <v>2698</v>
      </c>
      <c r="BQ184" s="83" t="s">
        <v>2699</v>
      </c>
      <c r="BR184" s="83" t="s">
        <v>2693</v>
      </c>
      <c r="BS184" s="83" t="s">
        <v>2699</v>
      </c>
      <c r="BT184" s="83" t="s">
        <v>2696</v>
      </c>
      <c r="BU184" s="83" t="s">
        <v>2699</v>
      </c>
      <c r="BV184" s="83" t="s">
        <v>2696</v>
      </c>
      <c r="BW184" s="83" t="s">
        <v>2698</v>
      </c>
      <c r="BX184" s="83" t="s">
        <v>2696</v>
      </c>
      <c r="BY184" s="83" t="s">
        <v>2699</v>
      </c>
      <c r="BZ184" s="83" t="s">
        <v>2693</v>
      </c>
      <c r="CA184" s="83" t="s">
        <v>2693</v>
      </c>
      <c r="CB184" s="83" t="s">
        <v>2694</v>
      </c>
      <c r="CC184" s="83" t="s">
        <v>2699</v>
      </c>
      <c r="CD184" s="83" t="s">
        <v>2696</v>
      </c>
      <c r="CF184" s="83" t="s">
        <v>3242</v>
      </c>
      <c r="CG184" s="83" t="s">
        <v>3243</v>
      </c>
      <c r="CH184" s="83" t="s">
        <v>2693</v>
      </c>
      <c r="CI184" s="83" t="s">
        <v>3992</v>
      </c>
      <c r="CJ184" s="83" t="s">
        <v>2701</v>
      </c>
      <c r="CK184" s="144">
        <v>0</v>
      </c>
      <c r="CL184" s="99">
        <v>382000</v>
      </c>
    </row>
    <row r="185" spans="1:90">
      <c r="A185" s="83" t="s">
        <v>2651</v>
      </c>
      <c r="B185" s="83" t="s">
        <v>3241</v>
      </c>
      <c r="D185" s="83" t="s">
        <v>673</v>
      </c>
      <c r="E185" s="83" t="s">
        <v>894</v>
      </c>
      <c r="F185" s="83" t="s">
        <v>3090</v>
      </c>
      <c r="G185" s="83" t="s">
        <v>2298</v>
      </c>
      <c r="H185" s="83" t="s">
        <v>1201</v>
      </c>
      <c r="I185" s="83" t="s">
        <v>1202</v>
      </c>
      <c r="J185" s="83" t="s">
        <v>1203</v>
      </c>
      <c r="K185" s="83" t="s">
        <v>565</v>
      </c>
      <c r="L185" s="83" t="s">
        <v>398</v>
      </c>
      <c r="M185" s="83" t="s">
        <v>399</v>
      </c>
      <c r="N185" s="83" t="s">
        <v>3228</v>
      </c>
      <c r="O185" s="83" t="s">
        <v>106</v>
      </c>
      <c r="P185" s="83">
        <v>4</v>
      </c>
      <c r="Q185" s="83" t="s">
        <v>106</v>
      </c>
      <c r="R185" s="83" t="s">
        <v>2727</v>
      </c>
      <c r="S185" s="83" t="s">
        <v>2712</v>
      </c>
      <c r="T185" s="83" t="s">
        <v>2843</v>
      </c>
      <c r="U185" s="83" t="s">
        <v>401</v>
      </c>
      <c r="AC185" s="83" t="s">
        <v>401</v>
      </c>
      <c r="AD185" s="83">
        <v>118000</v>
      </c>
      <c r="AF185" s="83">
        <v>3000</v>
      </c>
      <c r="AJ185" s="83">
        <v>1</v>
      </c>
      <c r="AK185" s="83">
        <v>1</v>
      </c>
      <c r="AL185" s="83">
        <v>792</v>
      </c>
      <c r="AM185" s="83" t="s">
        <v>2693</v>
      </c>
      <c r="BK185" s="83" t="s">
        <v>2694</v>
      </c>
      <c r="BL185" s="83" t="s">
        <v>2693</v>
      </c>
      <c r="BM185" s="83" t="s">
        <v>2698</v>
      </c>
      <c r="BN185" s="83" t="s">
        <v>2698</v>
      </c>
      <c r="BO185" s="83" t="s">
        <v>2697</v>
      </c>
      <c r="BP185" s="83" t="s">
        <v>2698</v>
      </c>
      <c r="BQ185" s="83" t="s">
        <v>2699</v>
      </c>
      <c r="BR185" s="83" t="s">
        <v>2693</v>
      </c>
      <c r="BS185" s="83" t="s">
        <v>2699</v>
      </c>
      <c r="BT185" s="83" t="s">
        <v>2696</v>
      </c>
      <c r="BU185" s="83" t="s">
        <v>2699</v>
      </c>
      <c r="BV185" s="83" t="s">
        <v>2696</v>
      </c>
      <c r="BW185" s="83" t="s">
        <v>2698</v>
      </c>
      <c r="BX185" s="83" t="s">
        <v>2696</v>
      </c>
      <c r="BY185" s="83" t="s">
        <v>2699</v>
      </c>
      <c r="BZ185" s="83" t="s">
        <v>2693</v>
      </c>
      <c r="CA185" s="83" t="s">
        <v>2693</v>
      </c>
      <c r="CB185" s="83" t="s">
        <v>2694</v>
      </c>
      <c r="CC185" s="83" t="s">
        <v>2699</v>
      </c>
      <c r="CD185" s="83" t="s">
        <v>2696</v>
      </c>
      <c r="CF185" s="83" t="s">
        <v>3244</v>
      </c>
      <c r="CG185" s="83" t="s">
        <v>3245</v>
      </c>
      <c r="CH185" s="83" t="s">
        <v>2693</v>
      </c>
      <c r="CI185" s="83" t="s">
        <v>3992</v>
      </c>
      <c r="CJ185" s="83" t="s">
        <v>2701</v>
      </c>
      <c r="CK185" s="144">
        <v>0</v>
      </c>
      <c r="CL185"/>
    </row>
    <row r="186" spans="1:90">
      <c r="A186" s="79" t="s">
        <v>2675</v>
      </c>
      <c r="B186" s="79" t="s">
        <v>4123</v>
      </c>
      <c r="C186" s="79"/>
      <c r="D186" s="79" t="s">
        <v>688</v>
      </c>
      <c r="E186" s="79" t="s">
        <v>1012</v>
      </c>
      <c r="F186" s="79" t="s">
        <v>3693</v>
      </c>
      <c r="G186" s="79" t="s">
        <v>2457</v>
      </c>
      <c r="H186" s="79" t="s">
        <v>1201</v>
      </c>
      <c r="I186" s="79" t="s">
        <v>1202</v>
      </c>
      <c r="J186" s="79" t="s">
        <v>1203</v>
      </c>
      <c r="K186" s="79" t="s">
        <v>565</v>
      </c>
      <c r="L186" s="79" t="s">
        <v>398</v>
      </c>
      <c r="M186" s="79" t="s">
        <v>399</v>
      </c>
      <c r="N186" s="79" t="s">
        <v>3228</v>
      </c>
      <c r="O186" s="79" t="s">
        <v>106</v>
      </c>
      <c r="P186" s="79">
        <v>4</v>
      </c>
      <c r="Q186" s="79" t="s">
        <v>106</v>
      </c>
      <c r="R186" s="79" t="s">
        <v>2691</v>
      </c>
      <c r="S186" s="79" t="s">
        <v>2797</v>
      </c>
      <c r="T186" s="79" t="s">
        <v>2703</v>
      </c>
      <c r="U186" s="79" t="s">
        <v>401</v>
      </c>
      <c r="AC186" s="79" t="s">
        <v>401</v>
      </c>
      <c r="AD186" s="79">
        <v>188000</v>
      </c>
      <c r="AE186" s="79"/>
      <c r="AF186" s="79">
        <v>22000</v>
      </c>
      <c r="AG186" s="79"/>
      <c r="AH186" s="79"/>
      <c r="AI186" s="79"/>
      <c r="AJ186" s="79">
        <v>1</v>
      </c>
      <c r="AK186" s="79">
        <v>1</v>
      </c>
      <c r="AL186" s="79">
        <v>2180</v>
      </c>
      <c r="AM186" s="79" t="s">
        <v>2693</v>
      </c>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c r="BK186" s="79" t="s">
        <v>2694</v>
      </c>
      <c r="BL186" s="79" t="s">
        <v>2704</v>
      </c>
      <c r="BM186" s="79" t="s">
        <v>2698</v>
      </c>
      <c r="BN186" s="79" t="s">
        <v>2696</v>
      </c>
      <c r="BO186" s="79" t="s">
        <v>2697</v>
      </c>
      <c r="BP186" s="79" t="s">
        <v>2698</v>
      </c>
      <c r="BQ186" s="79" t="s">
        <v>2699</v>
      </c>
      <c r="BR186" s="79" t="s">
        <v>2693</v>
      </c>
      <c r="BS186" s="79" t="s">
        <v>2699</v>
      </c>
      <c r="BT186" s="79" t="s">
        <v>2696</v>
      </c>
      <c r="BU186" s="79">
        <v>1</v>
      </c>
      <c r="BV186" s="79" t="s">
        <v>2696</v>
      </c>
      <c r="BW186" s="79" t="s">
        <v>2698</v>
      </c>
      <c r="BX186" s="79" t="s">
        <v>2696</v>
      </c>
      <c r="BY186" s="79" t="s">
        <v>2699</v>
      </c>
      <c r="BZ186" s="79" t="s">
        <v>2693</v>
      </c>
      <c r="CA186" s="79" t="s">
        <v>2697</v>
      </c>
      <c r="CB186" s="79" t="s">
        <v>2693</v>
      </c>
      <c r="CC186" s="79" t="s">
        <v>2699</v>
      </c>
      <c r="CD186" s="79" t="s">
        <v>2696</v>
      </c>
      <c r="CE186" s="79"/>
      <c r="CF186" s="81" t="s">
        <v>4124</v>
      </c>
      <c r="CG186" s="81" t="s">
        <v>4125</v>
      </c>
      <c r="CH186" s="79" t="s">
        <v>2693</v>
      </c>
      <c r="CI186" s="79" t="s">
        <v>2076</v>
      </c>
      <c r="CJ186" s="79" t="s">
        <v>2701</v>
      </c>
      <c r="CK186" s="145">
        <v>1</v>
      </c>
      <c r="CL186" s="99">
        <v>218000</v>
      </c>
    </row>
    <row r="187" spans="1:90">
      <c r="A187" s="83" t="s">
        <v>1501</v>
      </c>
      <c r="B187" s="83" t="s">
        <v>1634</v>
      </c>
      <c r="D187" s="83" t="s">
        <v>688</v>
      </c>
      <c r="E187" s="83" t="s">
        <v>811</v>
      </c>
      <c r="F187" s="83" t="s">
        <v>1737</v>
      </c>
      <c r="G187" s="83" t="s">
        <v>1856</v>
      </c>
      <c r="H187" s="83" t="s">
        <v>1201</v>
      </c>
      <c r="I187" s="83" t="s">
        <v>1202</v>
      </c>
      <c r="J187" s="83" t="s">
        <v>1203</v>
      </c>
      <c r="K187" s="83" t="s">
        <v>565</v>
      </c>
      <c r="L187" s="83" t="s">
        <v>398</v>
      </c>
      <c r="M187" s="83" t="s">
        <v>399</v>
      </c>
      <c r="N187" s="83" t="s">
        <v>2690</v>
      </c>
      <c r="O187" s="83" t="s">
        <v>106</v>
      </c>
      <c r="P187" s="83">
        <v>4</v>
      </c>
      <c r="Q187" s="83" t="s">
        <v>106</v>
      </c>
      <c r="R187" s="83" t="s">
        <v>2727</v>
      </c>
      <c r="S187" s="83" t="s">
        <v>2692</v>
      </c>
      <c r="T187" s="83" t="s">
        <v>2759</v>
      </c>
      <c r="U187" s="83" t="s">
        <v>401</v>
      </c>
      <c r="AC187" s="83" t="s">
        <v>401</v>
      </c>
      <c r="AD187" s="83">
        <v>16000</v>
      </c>
      <c r="AF187" s="83">
        <v>0</v>
      </c>
      <c r="AJ187" s="83">
        <v>1</v>
      </c>
      <c r="AK187" s="83">
        <v>1</v>
      </c>
      <c r="AL187" s="83">
        <v>228</v>
      </c>
      <c r="AM187" s="83" t="s">
        <v>2693</v>
      </c>
      <c r="BK187" s="83" t="s">
        <v>2694</v>
      </c>
      <c r="BL187" s="83" t="s">
        <v>2704</v>
      </c>
      <c r="BM187" s="83" t="s">
        <v>2697</v>
      </c>
      <c r="BN187" s="83" t="s">
        <v>2699</v>
      </c>
      <c r="BO187" s="83" t="s">
        <v>2697</v>
      </c>
      <c r="BP187" s="83" t="s">
        <v>2698</v>
      </c>
      <c r="BQ187" s="83" t="s">
        <v>2693</v>
      </c>
      <c r="BR187" s="83" t="s">
        <v>2693</v>
      </c>
      <c r="BS187" s="83" t="s">
        <v>2699</v>
      </c>
      <c r="BT187" s="83">
        <v>0</v>
      </c>
      <c r="BU187" s="83" t="s">
        <v>2699</v>
      </c>
      <c r="BV187" s="83" t="s">
        <v>2696</v>
      </c>
      <c r="BW187" s="83" t="s">
        <v>2696</v>
      </c>
      <c r="BX187" s="83" t="s">
        <v>2696</v>
      </c>
      <c r="BY187" s="83" t="s">
        <v>2699</v>
      </c>
      <c r="BZ187" s="83" t="s">
        <v>2699</v>
      </c>
      <c r="CA187" s="83" t="s">
        <v>2693</v>
      </c>
      <c r="CB187" s="83">
        <v>9</v>
      </c>
      <c r="CC187" s="83" t="s">
        <v>2696</v>
      </c>
      <c r="CD187" s="83" t="s">
        <v>2696</v>
      </c>
      <c r="CF187" s="83" t="s">
        <v>2181</v>
      </c>
      <c r="CG187" s="83" t="s">
        <v>2182</v>
      </c>
      <c r="CH187" s="83" t="s">
        <v>2693</v>
      </c>
      <c r="CI187" s="83" t="s">
        <v>3992</v>
      </c>
      <c r="CJ187" s="83" t="s">
        <v>2701</v>
      </c>
      <c r="CK187" s="144">
        <v>0</v>
      </c>
      <c r="CL187" s="99">
        <v>465000</v>
      </c>
    </row>
    <row r="188" spans="1:90">
      <c r="A188" s="83" t="s">
        <v>1501</v>
      </c>
      <c r="B188" s="83" t="s">
        <v>1634</v>
      </c>
      <c r="D188" s="83" t="s">
        <v>673</v>
      </c>
      <c r="E188" s="83" t="s">
        <v>2788</v>
      </c>
      <c r="F188" s="83" t="s">
        <v>1737</v>
      </c>
      <c r="G188" s="83" t="s">
        <v>1856</v>
      </c>
      <c r="H188" s="83" t="s">
        <v>1201</v>
      </c>
      <c r="I188" s="83" t="s">
        <v>1202</v>
      </c>
      <c r="J188" s="83" t="s">
        <v>1203</v>
      </c>
      <c r="K188" s="83" t="s">
        <v>565</v>
      </c>
      <c r="L188" s="83" t="s">
        <v>398</v>
      </c>
      <c r="M188" s="83" t="s">
        <v>399</v>
      </c>
      <c r="N188" s="83" t="s">
        <v>2690</v>
      </c>
      <c r="O188" s="83" t="s">
        <v>106</v>
      </c>
      <c r="P188" s="83">
        <v>4</v>
      </c>
      <c r="Q188" s="83" t="s">
        <v>106</v>
      </c>
      <c r="R188" s="83" t="s">
        <v>2691</v>
      </c>
      <c r="S188" s="83" t="s">
        <v>1468</v>
      </c>
      <c r="T188" s="83" t="s">
        <v>2703</v>
      </c>
      <c r="U188" s="83" t="s">
        <v>401</v>
      </c>
      <c r="AC188" s="83" t="s">
        <v>401</v>
      </c>
      <c r="AD188" s="83">
        <v>160000</v>
      </c>
      <c r="AF188" s="83">
        <v>0</v>
      </c>
      <c r="AJ188" s="83">
        <v>1</v>
      </c>
      <c r="AK188" s="83">
        <v>2</v>
      </c>
      <c r="AL188" s="83">
        <v>2084</v>
      </c>
      <c r="AM188" s="83" t="s">
        <v>2693</v>
      </c>
      <c r="BK188" s="83" t="s">
        <v>2694</v>
      </c>
      <c r="BL188" s="83" t="s">
        <v>2704</v>
      </c>
      <c r="BM188" s="83" t="s">
        <v>2697</v>
      </c>
      <c r="BN188" s="83" t="s">
        <v>2699</v>
      </c>
      <c r="BO188" s="83" t="s">
        <v>2693</v>
      </c>
      <c r="BP188" s="83" t="s">
        <v>2698</v>
      </c>
      <c r="BQ188" s="83" t="s">
        <v>2693</v>
      </c>
      <c r="BR188" s="83" t="s">
        <v>2693</v>
      </c>
      <c r="BS188" s="83" t="s">
        <v>2699</v>
      </c>
      <c r="BT188" s="83">
        <v>0</v>
      </c>
      <c r="BU188" s="83" t="s">
        <v>2699</v>
      </c>
      <c r="BV188" s="83" t="s">
        <v>2696</v>
      </c>
      <c r="BW188" s="83" t="s">
        <v>2698</v>
      </c>
      <c r="BX188" s="83" t="s">
        <v>2696</v>
      </c>
      <c r="BY188" s="83" t="s">
        <v>2699</v>
      </c>
      <c r="BZ188" s="83" t="s">
        <v>2699</v>
      </c>
      <c r="CA188" s="83" t="s">
        <v>2693</v>
      </c>
      <c r="CB188" s="83">
        <v>9</v>
      </c>
      <c r="CC188" s="83" t="s">
        <v>2696</v>
      </c>
      <c r="CD188" s="83" t="s">
        <v>2696</v>
      </c>
      <c r="CF188" s="83" t="s">
        <v>2183</v>
      </c>
      <c r="CG188" s="83" t="s">
        <v>2184</v>
      </c>
      <c r="CH188" s="83" t="s">
        <v>2693</v>
      </c>
      <c r="CI188" s="83" t="s">
        <v>3992</v>
      </c>
      <c r="CJ188" s="83" t="s">
        <v>2701</v>
      </c>
      <c r="CK188" s="144">
        <v>0</v>
      </c>
      <c r="CL188"/>
    </row>
    <row r="189" spans="1:90">
      <c r="A189" s="83" t="s">
        <v>1492</v>
      </c>
      <c r="B189" s="83" t="s">
        <v>1635</v>
      </c>
      <c r="D189" s="83" t="s">
        <v>688</v>
      </c>
      <c r="E189" s="83" t="s">
        <v>1635</v>
      </c>
      <c r="F189" s="83" t="s">
        <v>1738</v>
      </c>
      <c r="G189" s="83" t="s">
        <v>1826</v>
      </c>
      <c r="H189" s="83" t="s">
        <v>1201</v>
      </c>
      <c r="I189" s="83" t="s">
        <v>1202</v>
      </c>
      <c r="J189" s="83" t="s">
        <v>1203</v>
      </c>
      <c r="K189" s="83" t="s">
        <v>565</v>
      </c>
      <c r="L189" s="83" t="s">
        <v>398</v>
      </c>
      <c r="M189" s="83" t="s">
        <v>399</v>
      </c>
      <c r="N189" s="83" t="s">
        <v>2735</v>
      </c>
      <c r="O189" s="83" t="s">
        <v>106</v>
      </c>
      <c r="P189" s="83">
        <v>4</v>
      </c>
      <c r="Q189" s="83" t="s">
        <v>106</v>
      </c>
      <c r="R189" s="83" t="s">
        <v>2691</v>
      </c>
      <c r="S189" s="83" t="s">
        <v>2712</v>
      </c>
      <c r="T189" s="83" t="s">
        <v>1463</v>
      </c>
      <c r="U189" s="83" t="s">
        <v>401</v>
      </c>
      <c r="AC189" s="83" t="s">
        <v>401</v>
      </c>
      <c r="AD189" s="83">
        <v>68000</v>
      </c>
      <c r="AF189" s="83">
        <v>10000</v>
      </c>
      <c r="AJ189" s="83">
        <v>1</v>
      </c>
      <c r="AK189" s="83">
        <v>1</v>
      </c>
      <c r="AL189" s="83">
        <v>840</v>
      </c>
      <c r="AM189" s="83" t="s">
        <v>2693</v>
      </c>
      <c r="BK189" s="83" t="s">
        <v>2694</v>
      </c>
      <c r="BL189" s="83" t="s">
        <v>2699</v>
      </c>
      <c r="BM189" s="83" t="s">
        <v>2697</v>
      </c>
      <c r="BN189" s="83" t="s">
        <v>2693</v>
      </c>
      <c r="BO189" s="83" t="s">
        <v>2693</v>
      </c>
      <c r="BP189" s="83" t="s">
        <v>2695</v>
      </c>
      <c r="BQ189" s="83" t="s">
        <v>2693</v>
      </c>
      <c r="BR189" s="83" t="s">
        <v>2693</v>
      </c>
      <c r="BS189" s="83" t="s">
        <v>2699</v>
      </c>
      <c r="BT189" s="83">
        <v>0</v>
      </c>
      <c r="BU189" s="83" t="s">
        <v>2699</v>
      </c>
      <c r="BV189" s="83" t="s">
        <v>2696</v>
      </c>
      <c r="BW189" s="83" t="s">
        <v>2698</v>
      </c>
      <c r="BX189" s="83" t="s">
        <v>2696</v>
      </c>
      <c r="BY189" s="83" t="s">
        <v>2699</v>
      </c>
      <c r="BZ189" s="83" t="s">
        <v>2693</v>
      </c>
      <c r="CA189" s="83" t="s">
        <v>2693</v>
      </c>
      <c r="CB189" s="83">
        <v>9</v>
      </c>
      <c r="CC189" s="83" t="s">
        <v>2699</v>
      </c>
      <c r="CD189" s="83" t="s">
        <v>2696</v>
      </c>
      <c r="CF189" s="83" t="s">
        <v>2244</v>
      </c>
      <c r="CG189" s="83" t="s">
        <v>2245</v>
      </c>
      <c r="CH189" s="83" t="s">
        <v>2693</v>
      </c>
      <c r="CI189" s="83" t="s">
        <v>3992</v>
      </c>
      <c r="CJ189" s="83" t="s">
        <v>2701</v>
      </c>
      <c r="CK189" s="144">
        <v>1</v>
      </c>
      <c r="CL189"/>
    </row>
    <row r="190" spans="1:90">
      <c r="A190" s="83" t="s">
        <v>2679</v>
      </c>
      <c r="B190" s="83" t="s">
        <v>4130</v>
      </c>
      <c r="D190" s="83" t="s">
        <v>688</v>
      </c>
      <c r="E190" s="83" t="s">
        <v>4132</v>
      </c>
      <c r="F190" s="83" t="s">
        <v>1707</v>
      </c>
      <c r="G190" s="83" t="s">
        <v>2462</v>
      </c>
      <c r="H190" s="83" t="s">
        <v>1201</v>
      </c>
      <c r="I190" s="83" t="s">
        <v>1202</v>
      </c>
      <c r="J190" s="83" t="s">
        <v>1203</v>
      </c>
      <c r="K190" s="83" t="s">
        <v>565</v>
      </c>
      <c r="L190" s="83" t="s">
        <v>398</v>
      </c>
      <c r="M190" s="83" t="s">
        <v>399</v>
      </c>
      <c r="N190" s="83" t="s">
        <v>3699</v>
      </c>
      <c r="O190" s="83" t="s">
        <v>106</v>
      </c>
      <c r="P190" s="83">
        <v>1</v>
      </c>
      <c r="Q190" s="83" t="s">
        <v>106</v>
      </c>
      <c r="R190" s="83" t="s">
        <v>2693</v>
      </c>
      <c r="S190" s="83" t="s">
        <v>2712</v>
      </c>
      <c r="T190" s="83" t="s">
        <v>2703</v>
      </c>
      <c r="U190" s="83" t="s">
        <v>401</v>
      </c>
      <c r="AC190" s="83" t="s">
        <v>401</v>
      </c>
      <c r="AD190" s="83">
        <v>150000</v>
      </c>
      <c r="AF190" s="83">
        <v>18000</v>
      </c>
      <c r="AJ190" s="83">
        <v>1</v>
      </c>
      <c r="AK190" s="83">
        <v>1</v>
      </c>
      <c r="AL190" s="83">
        <v>1472</v>
      </c>
      <c r="AM190" s="83" t="s">
        <v>2693</v>
      </c>
      <c r="BK190" s="83" t="s">
        <v>2694</v>
      </c>
      <c r="BL190" s="83" t="s">
        <v>2704</v>
      </c>
      <c r="BM190" s="83" t="s">
        <v>2698</v>
      </c>
      <c r="BN190" s="83" t="s">
        <v>2696</v>
      </c>
      <c r="BO190" s="83" t="s">
        <v>2697</v>
      </c>
      <c r="BP190" s="83" t="s">
        <v>2698</v>
      </c>
      <c r="BQ190" s="83" t="s">
        <v>2699</v>
      </c>
      <c r="BR190" s="83" t="s">
        <v>2693</v>
      </c>
      <c r="BS190" s="83" t="s">
        <v>2699</v>
      </c>
      <c r="BT190" s="83" t="s">
        <v>2696</v>
      </c>
      <c r="BU190" s="83">
        <v>1</v>
      </c>
      <c r="BV190" s="83" t="s">
        <v>2696</v>
      </c>
      <c r="BW190" s="83" t="s">
        <v>2697</v>
      </c>
      <c r="BX190" s="83" t="s">
        <v>2696</v>
      </c>
      <c r="BY190" s="83" t="s">
        <v>2699</v>
      </c>
      <c r="BZ190" s="83" t="s">
        <v>2699</v>
      </c>
      <c r="CA190" s="83" t="s">
        <v>2699</v>
      </c>
      <c r="CB190" s="83">
        <v>9</v>
      </c>
      <c r="CC190" s="83" t="s">
        <v>2699</v>
      </c>
      <c r="CD190" s="83" t="s">
        <v>2696</v>
      </c>
      <c r="CF190" s="83" t="s">
        <v>2469</v>
      </c>
      <c r="CG190" s="83" t="s">
        <v>2470</v>
      </c>
      <c r="CH190" s="83" t="s">
        <v>2699</v>
      </c>
      <c r="CI190" s="83" t="s">
        <v>2699</v>
      </c>
      <c r="CJ190" s="83" t="s">
        <v>2734</v>
      </c>
      <c r="CK190" s="144">
        <v>2</v>
      </c>
      <c r="CL190"/>
    </row>
    <row r="191" spans="1:90">
      <c r="A191" s="83" t="s">
        <v>2680</v>
      </c>
      <c r="B191" s="83" t="s">
        <v>4130</v>
      </c>
      <c r="D191" s="83" t="s">
        <v>688</v>
      </c>
      <c r="E191" s="83" t="s">
        <v>4133</v>
      </c>
      <c r="F191" s="83" t="s">
        <v>1707</v>
      </c>
      <c r="G191" s="83" t="s">
        <v>2462</v>
      </c>
      <c r="H191" s="83" t="s">
        <v>1201</v>
      </c>
      <c r="I191" s="83" t="s">
        <v>1202</v>
      </c>
      <c r="J191" s="83" t="s">
        <v>1203</v>
      </c>
      <c r="K191" s="83" t="s">
        <v>565</v>
      </c>
      <c r="L191" s="83" t="s">
        <v>398</v>
      </c>
      <c r="M191" s="83" t="s">
        <v>399</v>
      </c>
      <c r="N191" s="83" t="s">
        <v>3699</v>
      </c>
      <c r="O191" s="83" t="s">
        <v>106</v>
      </c>
      <c r="P191" s="83">
        <v>4</v>
      </c>
      <c r="Q191" s="83" t="s">
        <v>106</v>
      </c>
      <c r="R191" s="83" t="s">
        <v>2727</v>
      </c>
      <c r="S191" s="83" t="s">
        <v>2712</v>
      </c>
      <c r="T191" s="83" t="s">
        <v>2703</v>
      </c>
      <c r="U191" s="83" t="s">
        <v>401</v>
      </c>
      <c r="AC191" s="83" t="s">
        <v>401</v>
      </c>
      <c r="AD191" s="83">
        <v>130000</v>
      </c>
      <c r="AF191" s="83">
        <v>3000</v>
      </c>
      <c r="AJ191" s="83">
        <v>1</v>
      </c>
      <c r="AK191" s="83">
        <v>1</v>
      </c>
      <c r="AL191" s="83">
        <v>1080</v>
      </c>
      <c r="AM191" s="83" t="s">
        <v>2693</v>
      </c>
      <c r="BK191" s="83" t="s">
        <v>2694</v>
      </c>
      <c r="BL191" s="83" t="s">
        <v>2704</v>
      </c>
      <c r="BM191" s="83" t="s">
        <v>2697</v>
      </c>
      <c r="BN191" s="83" t="s">
        <v>2696</v>
      </c>
      <c r="BO191" s="83" t="s">
        <v>2697</v>
      </c>
      <c r="BP191" s="83" t="s">
        <v>2698</v>
      </c>
      <c r="BQ191" s="83" t="s">
        <v>2699</v>
      </c>
      <c r="BR191" s="83" t="s">
        <v>2693</v>
      </c>
      <c r="BS191" s="83" t="s">
        <v>2699</v>
      </c>
      <c r="BT191" s="83" t="s">
        <v>2696</v>
      </c>
      <c r="BU191" s="83">
        <v>1</v>
      </c>
      <c r="BV191" s="83" t="s">
        <v>2696</v>
      </c>
      <c r="BW191" s="83" t="s">
        <v>2695</v>
      </c>
      <c r="BX191" s="83" t="s">
        <v>2696</v>
      </c>
      <c r="BY191" s="83" t="s">
        <v>2699</v>
      </c>
      <c r="BZ191" s="83" t="s">
        <v>2699</v>
      </c>
      <c r="CA191" s="83" t="s">
        <v>2699</v>
      </c>
      <c r="CB191" s="83">
        <v>9</v>
      </c>
      <c r="CC191" s="83" t="s">
        <v>2699</v>
      </c>
      <c r="CD191" s="83" t="s">
        <v>2696</v>
      </c>
      <c r="CF191" s="83" t="s">
        <v>2469</v>
      </c>
      <c r="CG191" s="83" t="s">
        <v>2470</v>
      </c>
      <c r="CH191" s="83" t="s">
        <v>2693</v>
      </c>
      <c r="CI191" s="83" t="s">
        <v>2076</v>
      </c>
      <c r="CJ191" s="83" t="s">
        <v>2701</v>
      </c>
      <c r="CK191" s="144">
        <v>0</v>
      </c>
      <c r="CL191"/>
    </row>
    <row r="192" spans="1:90">
      <c r="A192" s="83" t="s">
        <v>2680</v>
      </c>
      <c r="B192" s="83" t="s">
        <v>4130</v>
      </c>
      <c r="D192" s="83" t="s">
        <v>673</v>
      </c>
      <c r="E192" s="83" t="s">
        <v>4134</v>
      </c>
      <c r="F192" s="83" t="s">
        <v>1707</v>
      </c>
      <c r="G192" s="83" t="s">
        <v>2462</v>
      </c>
      <c r="H192" s="83" t="s">
        <v>1201</v>
      </c>
      <c r="I192" s="83" t="s">
        <v>1202</v>
      </c>
      <c r="J192" s="83" t="s">
        <v>1203</v>
      </c>
      <c r="K192" s="83" t="s">
        <v>565</v>
      </c>
      <c r="L192" s="83" t="s">
        <v>398</v>
      </c>
      <c r="M192" s="83" t="s">
        <v>399</v>
      </c>
      <c r="N192" s="83" t="s">
        <v>3699</v>
      </c>
      <c r="O192" s="83" t="s">
        <v>106</v>
      </c>
      <c r="P192" s="83">
        <v>4</v>
      </c>
      <c r="Q192" s="83" t="s">
        <v>106</v>
      </c>
      <c r="R192" s="83" t="s">
        <v>2727</v>
      </c>
      <c r="S192" s="83" t="s">
        <v>2712</v>
      </c>
      <c r="T192" s="83" t="s">
        <v>2703</v>
      </c>
      <c r="U192" s="83" t="s">
        <v>401</v>
      </c>
      <c r="AC192" s="83" t="s">
        <v>401</v>
      </c>
      <c r="AD192" s="83">
        <v>152000</v>
      </c>
      <c r="AF192" s="83">
        <v>6000</v>
      </c>
      <c r="AJ192" s="83">
        <v>1</v>
      </c>
      <c r="AK192" s="83">
        <v>1</v>
      </c>
      <c r="AL192" s="83">
        <v>1600</v>
      </c>
      <c r="AM192" s="83" t="s">
        <v>2693</v>
      </c>
      <c r="BK192" s="83" t="s">
        <v>2699</v>
      </c>
      <c r="BL192" s="83" t="s">
        <v>2704</v>
      </c>
      <c r="BM192" s="83" t="s">
        <v>2697</v>
      </c>
      <c r="BN192" s="83" t="s">
        <v>2696</v>
      </c>
      <c r="BO192" s="83" t="s">
        <v>2695</v>
      </c>
      <c r="BP192" s="83" t="s">
        <v>2698</v>
      </c>
      <c r="BQ192" s="83" t="s">
        <v>2699</v>
      </c>
      <c r="BR192" s="83" t="s">
        <v>2693</v>
      </c>
      <c r="BS192" s="83" t="s">
        <v>2699</v>
      </c>
      <c r="BT192" s="83" t="s">
        <v>2696</v>
      </c>
      <c r="BU192" s="83">
        <v>1</v>
      </c>
      <c r="BV192" s="83" t="s">
        <v>2696</v>
      </c>
      <c r="BW192" s="83" t="s">
        <v>2695</v>
      </c>
      <c r="BX192" s="83" t="s">
        <v>2696</v>
      </c>
      <c r="BY192" s="83" t="s">
        <v>2699</v>
      </c>
      <c r="BZ192" s="83" t="s">
        <v>2699</v>
      </c>
      <c r="CA192" s="83" t="s">
        <v>2699</v>
      </c>
      <c r="CB192" s="83">
        <v>9</v>
      </c>
      <c r="CC192" s="83" t="s">
        <v>2699</v>
      </c>
      <c r="CD192" s="83" t="s">
        <v>2696</v>
      </c>
      <c r="CF192" s="83" t="s">
        <v>2469</v>
      </c>
      <c r="CG192" s="83" t="s">
        <v>2470</v>
      </c>
      <c r="CH192" s="83" t="s">
        <v>2693</v>
      </c>
      <c r="CI192" s="83" t="s">
        <v>2076</v>
      </c>
      <c r="CJ192" s="83" t="s">
        <v>2701</v>
      </c>
      <c r="CL192"/>
    </row>
    <row r="193" spans="1:90">
      <c r="A193" s="83" t="s">
        <v>2681</v>
      </c>
      <c r="B193" s="83" t="s">
        <v>3709</v>
      </c>
      <c r="D193" s="83" t="s">
        <v>688</v>
      </c>
      <c r="E193" s="83" t="s">
        <v>3709</v>
      </c>
      <c r="F193" s="83" t="s">
        <v>1707</v>
      </c>
      <c r="G193" s="83" t="s">
        <v>2462</v>
      </c>
      <c r="H193" s="83" t="s">
        <v>1201</v>
      </c>
      <c r="I193" s="83" t="s">
        <v>1202</v>
      </c>
      <c r="J193" s="83" t="s">
        <v>1203</v>
      </c>
      <c r="K193" s="83" t="s">
        <v>565</v>
      </c>
      <c r="L193" s="83" t="s">
        <v>398</v>
      </c>
      <c r="M193" s="83" t="s">
        <v>399</v>
      </c>
      <c r="N193" s="83" t="s">
        <v>3699</v>
      </c>
      <c r="O193" s="83" t="s">
        <v>106</v>
      </c>
      <c r="P193" s="83">
        <v>5</v>
      </c>
      <c r="Q193" s="83" t="s">
        <v>106</v>
      </c>
      <c r="R193" s="83" t="s">
        <v>3710</v>
      </c>
      <c r="S193" s="83" t="s">
        <v>2712</v>
      </c>
      <c r="T193" s="83" t="s">
        <v>2703</v>
      </c>
      <c r="U193" s="83" t="s">
        <v>401</v>
      </c>
      <c r="AC193" s="83" t="s">
        <v>401</v>
      </c>
      <c r="AD193" s="83">
        <v>35000</v>
      </c>
      <c r="AF193" s="83">
        <v>5000</v>
      </c>
      <c r="AJ193" s="83">
        <v>1</v>
      </c>
      <c r="AK193" s="83">
        <v>1</v>
      </c>
      <c r="AL193" s="83">
        <v>352</v>
      </c>
      <c r="AM193" s="83" t="s">
        <v>2693</v>
      </c>
      <c r="BK193" s="83" t="s">
        <v>2694</v>
      </c>
      <c r="BL193" s="83" t="s">
        <v>2704</v>
      </c>
      <c r="BM193" s="83" t="s">
        <v>2693</v>
      </c>
      <c r="BN193" s="83" t="s">
        <v>2698</v>
      </c>
      <c r="BO193" s="83" t="s">
        <v>2697</v>
      </c>
      <c r="BP193" s="83" t="s">
        <v>2693</v>
      </c>
      <c r="BQ193" s="83" t="s">
        <v>2699</v>
      </c>
      <c r="BR193" s="83" t="s">
        <v>2693</v>
      </c>
      <c r="BS193" s="83" t="s">
        <v>2699</v>
      </c>
      <c r="BT193" s="83" t="s">
        <v>2696</v>
      </c>
      <c r="BU193" s="83">
        <v>1</v>
      </c>
      <c r="BV193" s="83" t="s">
        <v>2696</v>
      </c>
      <c r="BW193" s="83" t="s">
        <v>2698</v>
      </c>
      <c r="BX193" s="83" t="s">
        <v>2696</v>
      </c>
      <c r="BY193" s="83" t="s">
        <v>2699</v>
      </c>
      <c r="BZ193" s="83" t="s">
        <v>2699</v>
      </c>
      <c r="CA193" s="83" t="s">
        <v>2699</v>
      </c>
      <c r="CB193" s="83">
        <v>9</v>
      </c>
      <c r="CC193" s="83" t="s">
        <v>2699</v>
      </c>
      <c r="CD193" s="83" t="s">
        <v>2696</v>
      </c>
      <c r="CF193" s="83" t="s">
        <v>2469</v>
      </c>
      <c r="CG193" s="83" t="s">
        <v>2470</v>
      </c>
      <c r="CH193" s="83" t="s">
        <v>2725</v>
      </c>
      <c r="CI193" s="83" t="s">
        <v>778</v>
      </c>
      <c r="CJ193" s="83" t="s">
        <v>2780</v>
      </c>
      <c r="CK193" s="144">
        <v>0</v>
      </c>
      <c r="CL193"/>
    </row>
    <row r="194" spans="1:90">
      <c r="A194" s="83" t="s">
        <v>2682</v>
      </c>
      <c r="B194" s="83" t="s">
        <v>3711</v>
      </c>
      <c r="D194" s="83" t="s">
        <v>688</v>
      </c>
      <c r="E194" s="83" t="s">
        <v>3711</v>
      </c>
      <c r="F194" s="83" t="s">
        <v>1707</v>
      </c>
      <c r="G194" s="83" t="s">
        <v>2462</v>
      </c>
      <c r="H194" s="83" t="s">
        <v>1201</v>
      </c>
      <c r="I194" s="83" t="s">
        <v>1202</v>
      </c>
      <c r="J194" s="83" t="s">
        <v>1203</v>
      </c>
      <c r="K194" s="83" t="s">
        <v>565</v>
      </c>
      <c r="L194" s="83" t="s">
        <v>398</v>
      </c>
      <c r="M194" s="83" t="s">
        <v>399</v>
      </c>
      <c r="N194" s="83" t="s">
        <v>3699</v>
      </c>
      <c r="O194" s="83" t="s">
        <v>106</v>
      </c>
      <c r="P194" s="83">
        <v>4</v>
      </c>
      <c r="Q194" s="83" t="s">
        <v>106</v>
      </c>
      <c r="R194" s="83" t="s">
        <v>2698</v>
      </c>
      <c r="S194" s="83" t="s">
        <v>2712</v>
      </c>
      <c r="T194" s="83" t="s">
        <v>2703</v>
      </c>
      <c r="U194" s="83" t="s">
        <v>401</v>
      </c>
      <c r="AC194" s="83" t="s">
        <v>401</v>
      </c>
      <c r="AD194" s="83">
        <v>230000</v>
      </c>
      <c r="AF194" s="83">
        <v>15000</v>
      </c>
      <c r="AJ194" s="83">
        <v>1</v>
      </c>
      <c r="AK194" s="83">
        <v>1</v>
      </c>
      <c r="AL194" s="83">
        <v>3840</v>
      </c>
      <c r="AM194" s="83" t="s">
        <v>2693</v>
      </c>
      <c r="BK194" s="83" t="s">
        <v>2694</v>
      </c>
      <c r="BL194" s="83" t="s">
        <v>2704</v>
      </c>
      <c r="BM194" s="83" t="s">
        <v>2698</v>
      </c>
      <c r="BN194" s="83" t="s">
        <v>2696</v>
      </c>
      <c r="BO194" s="83" t="s">
        <v>2697</v>
      </c>
      <c r="BP194" s="83" t="s">
        <v>2698</v>
      </c>
      <c r="BQ194" s="83" t="s">
        <v>2699</v>
      </c>
      <c r="BR194" s="83">
        <v>2</v>
      </c>
      <c r="BS194" s="83" t="s">
        <v>2699</v>
      </c>
      <c r="BT194" s="83" t="s">
        <v>2696</v>
      </c>
      <c r="BU194" s="83">
        <v>1</v>
      </c>
      <c r="BV194" s="83" t="s">
        <v>2696</v>
      </c>
      <c r="BW194" s="83" t="s">
        <v>2695</v>
      </c>
      <c r="BX194" s="83" t="s">
        <v>2696</v>
      </c>
      <c r="BY194" s="83" t="s">
        <v>2699</v>
      </c>
      <c r="BZ194" s="83" t="s">
        <v>2699</v>
      </c>
      <c r="CA194" s="83" t="s">
        <v>2699</v>
      </c>
      <c r="CB194" s="83">
        <v>9</v>
      </c>
      <c r="CC194" s="83" t="s">
        <v>2699</v>
      </c>
      <c r="CD194" s="83" t="s">
        <v>2696</v>
      </c>
      <c r="CF194" s="83" t="s">
        <v>2469</v>
      </c>
      <c r="CG194" s="83" t="s">
        <v>2470</v>
      </c>
      <c r="CH194" s="83" t="s">
        <v>2693</v>
      </c>
      <c r="CI194" s="83" t="s">
        <v>2076</v>
      </c>
      <c r="CJ194" s="83" t="s">
        <v>2701</v>
      </c>
      <c r="CK194" s="144">
        <v>0</v>
      </c>
      <c r="CL194"/>
    </row>
    <row r="195" spans="1:90">
      <c r="A195" s="83" t="s">
        <v>2683</v>
      </c>
      <c r="B195" s="83" t="s">
        <v>3712</v>
      </c>
      <c r="D195" s="83" t="s">
        <v>688</v>
      </c>
      <c r="E195" s="83" t="s">
        <v>3712</v>
      </c>
      <c r="F195" s="83" t="s">
        <v>1707</v>
      </c>
      <c r="G195" s="83" t="s">
        <v>2462</v>
      </c>
      <c r="H195" s="83" t="s">
        <v>1201</v>
      </c>
      <c r="I195" s="83" t="s">
        <v>1202</v>
      </c>
      <c r="J195" s="83" t="s">
        <v>1203</v>
      </c>
      <c r="K195" s="83" t="s">
        <v>565</v>
      </c>
      <c r="L195" s="83" t="s">
        <v>398</v>
      </c>
      <c r="M195" s="83" t="s">
        <v>399</v>
      </c>
      <c r="N195" s="83" t="s">
        <v>3699</v>
      </c>
      <c r="O195" s="83" t="s">
        <v>106</v>
      </c>
      <c r="P195" s="83">
        <v>1</v>
      </c>
      <c r="Q195" s="83" t="s">
        <v>106</v>
      </c>
      <c r="R195" s="83" t="s">
        <v>2691</v>
      </c>
      <c r="S195" s="83" t="s">
        <v>2712</v>
      </c>
      <c r="T195" s="83" t="s">
        <v>2703</v>
      </c>
      <c r="U195" s="83" t="s">
        <v>401</v>
      </c>
      <c r="AC195" s="83" t="s">
        <v>401</v>
      </c>
      <c r="AD195" s="83">
        <v>224000</v>
      </c>
      <c r="AF195" s="83">
        <v>27000</v>
      </c>
      <c r="AJ195" s="83">
        <v>1</v>
      </c>
      <c r="AK195" s="83">
        <v>1</v>
      </c>
      <c r="AL195" s="83">
        <v>2772</v>
      </c>
      <c r="AM195" s="83" t="s">
        <v>2693</v>
      </c>
      <c r="BK195" s="83" t="s">
        <v>2694</v>
      </c>
      <c r="BL195" s="83" t="s">
        <v>2704</v>
      </c>
      <c r="BM195" s="83" t="s">
        <v>2725</v>
      </c>
      <c r="BN195" s="83" t="s">
        <v>2696</v>
      </c>
      <c r="BO195" s="83" t="s">
        <v>2697</v>
      </c>
      <c r="BP195" s="83" t="s">
        <v>2698</v>
      </c>
      <c r="BQ195" s="83" t="s">
        <v>2699</v>
      </c>
      <c r="BR195" s="83" t="s">
        <v>2693</v>
      </c>
      <c r="BS195" s="83" t="s">
        <v>2699</v>
      </c>
      <c r="BT195" s="83" t="s">
        <v>2696</v>
      </c>
      <c r="BU195" s="83">
        <v>1</v>
      </c>
      <c r="BV195" s="83" t="s">
        <v>2696</v>
      </c>
      <c r="BW195" s="83" t="s">
        <v>2695</v>
      </c>
      <c r="BX195" s="83" t="s">
        <v>2696</v>
      </c>
      <c r="BY195" s="83" t="s">
        <v>2699</v>
      </c>
      <c r="BZ195" s="83" t="s">
        <v>2699</v>
      </c>
      <c r="CA195" s="83" t="s">
        <v>2699</v>
      </c>
      <c r="CB195" s="83">
        <v>9</v>
      </c>
      <c r="CC195" s="83" t="s">
        <v>2699</v>
      </c>
      <c r="CD195" s="83" t="s">
        <v>2696</v>
      </c>
      <c r="CF195" s="83" t="s">
        <v>2469</v>
      </c>
      <c r="CG195" s="83" t="s">
        <v>2470</v>
      </c>
      <c r="CH195" s="83" t="s">
        <v>2699</v>
      </c>
      <c r="CI195" s="83" t="s">
        <v>2699</v>
      </c>
      <c r="CJ195" s="83" t="s">
        <v>2734</v>
      </c>
      <c r="CK195" s="144">
        <v>1</v>
      </c>
      <c r="CL195"/>
    </row>
    <row r="196" spans="1:90">
      <c r="A196" s="83" t="s">
        <v>2684</v>
      </c>
      <c r="B196" s="83" t="s">
        <v>3713</v>
      </c>
      <c r="D196" s="83" t="s">
        <v>688</v>
      </c>
      <c r="E196" s="83" t="s">
        <v>3713</v>
      </c>
      <c r="F196" s="83" t="s">
        <v>1707</v>
      </c>
      <c r="G196" s="83" t="s">
        <v>2462</v>
      </c>
      <c r="H196" s="83" t="s">
        <v>1201</v>
      </c>
      <c r="I196" s="83" t="s">
        <v>1202</v>
      </c>
      <c r="J196" s="83" t="s">
        <v>1203</v>
      </c>
      <c r="K196" s="83" t="s">
        <v>565</v>
      </c>
      <c r="L196" s="83" t="s">
        <v>398</v>
      </c>
      <c r="M196" s="83" t="s">
        <v>399</v>
      </c>
      <c r="N196" s="83" t="s">
        <v>3699</v>
      </c>
      <c r="O196" s="83" t="s">
        <v>106</v>
      </c>
      <c r="P196" s="83">
        <v>4</v>
      </c>
      <c r="Q196" s="83" t="s">
        <v>106</v>
      </c>
      <c r="R196" s="83" t="s">
        <v>2727</v>
      </c>
      <c r="S196" s="83" t="s">
        <v>2712</v>
      </c>
      <c r="T196" s="83" t="s">
        <v>2703</v>
      </c>
      <c r="U196" s="83" t="s">
        <v>401</v>
      </c>
      <c r="AC196" s="83" t="s">
        <v>401</v>
      </c>
      <c r="AD196" s="83">
        <v>88000</v>
      </c>
      <c r="AF196" s="83">
        <v>2000</v>
      </c>
      <c r="AJ196" s="83">
        <v>1</v>
      </c>
      <c r="AK196" s="83">
        <v>1</v>
      </c>
      <c r="AL196" s="83">
        <v>729</v>
      </c>
      <c r="AM196" s="83" t="s">
        <v>2693</v>
      </c>
      <c r="BK196" s="83" t="s">
        <v>2694</v>
      </c>
      <c r="BL196" s="83" t="s">
        <v>2704</v>
      </c>
      <c r="BM196" s="83" t="s">
        <v>2697</v>
      </c>
      <c r="BN196" s="83" t="s">
        <v>2696</v>
      </c>
      <c r="BO196" s="83" t="s">
        <v>2697</v>
      </c>
      <c r="BP196" s="83" t="s">
        <v>2698</v>
      </c>
      <c r="BQ196" s="83" t="s">
        <v>2699</v>
      </c>
      <c r="BR196" s="83" t="s">
        <v>2693</v>
      </c>
      <c r="BS196" s="83" t="s">
        <v>2699</v>
      </c>
      <c r="BT196" s="83" t="s">
        <v>2696</v>
      </c>
      <c r="BU196" s="83">
        <v>1</v>
      </c>
      <c r="BV196" s="83" t="s">
        <v>2696</v>
      </c>
      <c r="BW196" s="83" t="s">
        <v>2695</v>
      </c>
      <c r="BX196" s="83" t="s">
        <v>2696</v>
      </c>
      <c r="BY196" s="83" t="s">
        <v>2699</v>
      </c>
      <c r="BZ196" s="83" t="s">
        <v>2699</v>
      </c>
      <c r="CA196" s="83" t="s">
        <v>2699</v>
      </c>
      <c r="CB196" s="83">
        <v>9</v>
      </c>
      <c r="CC196" s="83" t="s">
        <v>2699</v>
      </c>
      <c r="CD196" s="83" t="s">
        <v>2696</v>
      </c>
      <c r="CF196" s="83" t="s">
        <v>2469</v>
      </c>
      <c r="CG196" s="83" t="s">
        <v>2470</v>
      </c>
      <c r="CH196" s="83" t="s">
        <v>2693</v>
      </c>
      <c r="CI196" s="83" t="s">
        <v>2076</v>
      </c>
      <c r="CJ196" s="83" t="s">
        <v>2701</v>
      </c>
      <c r="CK196" s="144">
        <v>0</v>
      </c>
      <c r="CL196"/>
    </row>
    <row r="197" spans="1:90">
      <c r="A197" s="83" t="s">
        <v>1095</v>
      </c>
      <c r="B197" s="83" t="s">
        <v>2384</v>
      </c>
      <c r="D197" s="83" t="s">
        <v>688</v>
      </c>
      <c r="E197" s="83" t="s">
        <v>1012</v>
      </c>
      <c r="F197" s="83" t="s">
        <v>3438</v>
      </c>
      <c r="G197" s="83" t="s">
        <v>1158</v>
      </c>
      <c r="H197" s="83" t="s">
        <v>1201</v>
      </c>
      <c r="I197" s="83" t="s">
        <v>1202</v>
      </c>
      <c r="J197" s="83" t="s">
        <v>1203</v>
      </c>
      <c r="K197" s="83" t="s">
        <v>565</v>
      </c>
      <c r="L197" s="83" t="s">
        <v>398</v>
      </c>
      <c r="M197" s="83" t="s">
        <v>399</v>
      </c>
      <c r="N197" s="83" t="s">
        <v>3417</v>
      </c>
      <c r="O197" s="83" t="s">
        <v>106</v>
      </c>
      <c r="P197" s="83">
        <v>4</v>
      </c>
      <c r="Q197" s="83" t="s">
        <v>106</v>
      </c>
      <c r="R197" s="83" t="s">
        <v>3439</v>
      </c>
      <c r="S197" s="83" t="s">
        <v>2991</v>
      </c>
      <c r="T197" s="83" t="s">
        <v>2703</v>
      </c>
      <c r="U197" s="83" t="s">
        <v>401</v>
      </c>
      <c r="AC197" s="83" t="s">
        <v>401</v>
      </c>
      <c r="AD197" s="83">
        <v>489000</v>
      </c>
      <c r="AF197" s="83">
        <v>35000</v>
      </c>
      <c r="AJ197" s="83">
        <v>1</v>
      </c>
      <c r="AK197" s="83">
        <v>1</v>
      </c>
      <c r="AL197" s="83">
        <v>7020</v>
      </c>
      <c r="AM197" s="83" t="s">
        <v>2693</v>
      </c>
      <c r="BK197" s="83" t="s">
        <v>2694</v>
      </c>
      <c r="BL197" s="83" t="s">
        <v>2704</v>
      </c>
      <c r="BM197" s="83" t="s">
        <v>2698</v>
      </c>
      <c r="BN197" s="83" t="s">
        <v>2698</v>
      </c>
      <c r="BO197" s="83" t="s">
        <v>2697</v>
      </c>
      <c r="BP197" s="83" t="s">
        <v>2695</v>
      </c>
      <c r="BQ197" s="83" t="s">
        <v>2699</v>
      </c>
      <c r="BR197" s="83" t="s">
        <v>2693</v>
      </c>
      <c r="BS197" s="83" t="s">
        <v>2699</v>
      </c>
      <c r="BT197" s="83" t="s">
        <v>2696</v>
      </c>
      <c r="BU197" s="83" t="s">
        <v>2699</v>
      </c>
      <c r="BV197" s="83" t="s">
        <v>2697</v>
      </c>
      <c r="BW197" s="83" t="s">
        <v>2698</v>
      </c>
      <c r="BX197" s="83" t="s">
        <v>2696</v>
      </c>
      <c r="BY197" s="83" t="s">
        <v>2699</v>
      </c>
      <c r="BZ197" s="83" t="s">
        <v>2699</v>
      </c>
      <c r="CA197" s="83" t="s">
        <v>2693</v>
      </c>
      <c r="CB197" s="83" t="s">
        <v>2694</v>
      </c>
      <c r="CC197" s="83" t="s">
        <v>2696</v>
      </c>
      <c r="CD197" s="83" t="s">
        <v>2696</v>
      </c>
      <c r="CF197" s="83" t="s">
        <v>1096</v>
      </c>
      <c r="CG197" s="83" t="s">
        <v>1097</v>
      </c>
      <c r="CH197" s="83" t="s">
        <v>2693</v>
      </c>
      <c r="CI197" s="83" t="s">
        <v>3992</v>
      </c>
      <c r="CJ197" s="83" t="s">
        <v>2701</v>
      </c>
      <c r="CK197" s="144">
        <v>11</v>
      </c>
      <c r="CL197" s="99">
        <v>969000</v>
      </c>
    </row>
    <row r="198" spans="1:90">
      <c r="A198" s="83" t="s">
        <v>1095</v>
      </c>
      <c r="B198" s="83" t="s">
        <v>2384</v>
      </c>
      <c r="D198" s="83" t="s">
        <v>673</v>
      </c>
      <c r="E198" s="83" t="s">
        <v>894</v>
      </c>
      <c r="F198" s="83" t="s">
        <v>3438</v>
      </c>
      <c r="G198" s="83" t="s">
        <v>1158</v>
      </c>
      <c r="H198" s="83" t="s">
        <v>1201</v>
      </c>
      <c r="I198" s="83" t="s">
        <v>1202</v>
      </c>
      <c r="J198" s="83" t="s">
        <v>1203</v>
      </c>
      <c r="K198" s="83" t="s">
        <v>565</v>
      </c>
      <c r="L198" s="83" t="s">
        <v>398</v>
      </c>
      <c r="M198" s="83" t="s">
        <v>399</v>
      </c>
      <c r="N198" s="83" t="s">
        <v>3417</v>
      </c>
      <c r="O198" s="83" t="s">
        <v>106</v>
      </c>
      <c r="P198" s="83">
        <v>4</v>
      </c>
      <c r="Q198" s="83" t="s">
        <v>106</v>
      </c>
      <c r="R198" s="83" t="s">
        <v>3440</v>
      </c>
      <c r="S198" s="83" t="s">
        <v>2991</v>
      </c>
      <c r="T198" s="83" t="s">
        <v>2703</v>
      </c>
      <c r="U198" s="83" t="s">
        <v>401</v>
      </c>
      <c r="AC198" s="83" t="s">
        <v>401</v>
      </c>
      <c r="AD198" s="83">
        <v>50000</v>
      </c>
      <c r="AF198" s="83">
        <v>1000</v>
      </c>
      <c r="AJ198" s="83">
        <v>1</v>
      </c>
      <c r="AK198" s="83">
        <v>1</v>
      </c>
      <c r="AL198" s="83">
        <v>324</v>
      </c>
      <c r="AM198" s="83" t="s">
        <v>2693</v>
      </c>
      <c r="BK198" s="83" t="s">
        <v>2694</v>
      </c>
      <c r="BL198" s="83" t="s">
        <v>2693</v>
      </c>
      <c r="BM198" s="83" t="s">
        <v>2697</v>
      </c>
      <c r="BN198" s="83" t="s">
        <v>2698</v>
      </c>
      <c r="BO198" s="83" t="s">
        <v>2697</v>
      </c>
      <c r="BP198" s="83" t="s">
        <v>2695</v>
      </c>
      <c r="BQ198" s="83" t="s">
        <v>2699</v>
      </c>
      <c r="BR198" s="83" t="s">
        <v>2693</v>
      </c>
      <c r="BS198" s="83" t="s">
        <v>2699</v>
      </c>
      <c r="BT198" s="83" t="s">
        <v>2696</v>
      </c>
      <c r="BU198" s="83" t="s">
        <v>2699</v>
      </c>
      <c r="BV198" s="83" t="s">
        <v>2697</v>
      </c>
      <c r="BW198" s="83" t="s">
        <v>2698</v>
      </c>
      <c r="BX198" s="83" t="s">
        <v>2696</v>
      </c>
      <c r="BY198" s="83" t="s">
        <v>2699</v>
      </c>
      <c r="BZ198" s="83" t="s">
        <v>2699</v>
      </c>
      <c r="CA198" s="83" t="s">
        <v>2693</v>
      </c>
      <c r="CB198" s="83" t="s">
        <v>2694</v>
      </c>
      <c r="CC198" s="83" t="s">
        <v>2696</v>
      </c>
      <c r="CD198" s="83" t="s">
        <v>2696</v>
      </c>
      <c r="CF198" s="83" t="s">
        <v>1042</v>
      </c>
      <c r="CG198" s="83" t="s">
        <v>1043</v>
      </c>
      <c r="CH198" s="83" t="s">
        <v>2693</v>
      </c>
      <c r="CI198" s="83" t="s">
        <v>3992</v>
      </c>
      <c r="CJ198" s="83" t="s">
        <v>2701</v>
      </c>
      <c r="CK198" s="144">
        <v>0</v>
      </c>
      <c r="CL198"/>
    </row>
    <row r="199" spans="1:90">
      <c r="A199" s="83" t="s">
        <v>1095</v>
      </c>
      <c r="B199" s="83" t="s">
        <v>2384</v>
      </c>
      <c r="D199" s="83" t="s">
        <v>714</v>
      </c>
      <c r="E199" s="83" t="s">
        <v>1101</v>
      </c>
      <c r="F199" s="83" t="s">
        <v>3438</v>
      </c>
      <c r="G199" s="83" t="s">
        <v>1158</v>
      </c>
      <c r="H199" s="83" t="s">
        <v>1201</v>
      </c>
      <c r="I199" s="83" t="s">
        <v>1202</v>
      </c>
      <c r="J199" s="83" t="s">
        <v>1203</v>
      </c>
      <c r="K199" s="83" t="s">
        <v>565</v>
      </c>
      <c r="L199" s="83" t="s">
        <v>398</v>
      </c>
      <c r="M199" s="83" t="s">
        <v>399</v>
      </c>
      <c r="N199" s="83" t="s">
        <v>3417</v>
      </c>
      <c r="O199" s="83" t="s">
        <v>106</v>
      </c>
      <c r="P199" s="83">
        <v>4</v>
      </c>
      <c r="Q199" s="83" t="s">
        <v>106</v>
      </c>
      <c r="R199" s="83" t="s">
        <v>3441</v>
      </c>
      <c r="S199" s="83" t="s">
        <v>2991</v>
      </c>
      <c r="T199" s="83" t="s">
        <v>2703</v>
      </c>
      <c r="U199" s="83" t="s">
        <v>401</v>
      </c>
      <c r="AC199" s="83" t="s">
        <v>401</v>
      </c>
      <c r="AD199" s="83">
        <v>83000</v>
      </c>
      <c r="AF199" s="83">
        <v>1000</v>
      </c>
      <c r="AJ199" s="83">
        <v>1</v>
      </c>
      <c r="AK199" s="83">
        <v>1</v>
      </c>
      <c r="AL199" s="83">
        <v>480</v>
      </c>
      <c r="AM199" s="83" t="s">
        <v>2693</v>
      </c>
      <c r="BK199" s="83" t="s">
        <v>2694</v>
      </c>
      <c r="BL199" s="83" t="s">
        <v>2693</v>
      </c>
      <c r="BM199" s="83" t="s">
        <v>2698</v>
      </c>
      <c r="BN199" s="83" t="s">
        <v>2698</v>
      </c>
      <c r="BO199" s="83" t="s">
        <v>2697</v>
      </c>
      <c r="BP199" s="83" t="s">
        <v>2695</v>
      </c>
      <c r="BQ199" s="83" t="s">
        <v>2699</v>
      </c>
      <c r="BR199" s="83" t="s">
        <v>2693</v>
      </c>
      <c r="BS199" s="83" t="s">
        <v>2699</v>
      </c>
      <c r="BT199" s="83" t="s">
        <v>2696</v>
      </c>
      <c r="BU199" s="83" t="s">
        <v>2699</v>
      </c>
      <c r="BV199" s="83" t="s">
        <v>2697</v>
      </c>
      <c r="BW199" s="83" t="s">
        <v>2698</v>
      </c>
      <c r="BX199" s="83" t="s">
        <v>2696</v>
      </c>
      <c r="BY199" s="83" t="s">
        <v>2699</v>
      </c>
      <c r="BZ199" s="83" t="s">
        <v>2699</v>
      </c>
      <c r="CA199" s="83" t="s">
        <v>2693</v>
      </c>
      <c r="CB199" s="83" t="s">
        <v>2694</v>
      </c>
      <c r="CC199" s="83" t="s">
        <v>2696</v>
      </c>
      <c r="CD199" s="83" t="s">
        <v>2696</v>
      </c>
      <c r="CF199" s="83" t="s">
        <v>1102</v>
      </c>
      <c r="CG199" s="83" t="s">
        <v>1103</v>
      </c>
      <c r="CH199" s="83" t="s">
        <v>2693</v>
      </c>
      <c r="CI199" s="83" t="s">
        <v>3992</v>
      </c>
      <c r="CJ199" s="83" t="s">
        <v>2701</v>
      </c>
      <c r="CK199" s="144">
        <v>0</v>
      </c>
      <c r="CL199"/>
    </row>
    <row r="200" spans="1:90">
      <c r="A200" s="83" t="s">
        <v>1095</v>
      </c>
      <c r="B200" s="83" t="s">
        <v>2384</v>
      </c>
      <c r="D200" s="83" t="s">
        <v>716</v>
      </c>
      <c r="E200" s="83" t="s">
        <v>2387</v>
      </c>
      <c r="F200" s="83" t="s">
        <v>3438</v>
      </c>
      <c r="G200" s="83" t="s">
        <v>1158</v>
      </c>
      <c r="H200" s="83" t="s">
        <v>1201</v>
      </c>
      <c r="I200" s="83" t="s">
        <v>1202</v>
      </c>
      <c r="J200" s="83" t="s">
        <v>1203</v>
      </c>
      <c r="K200" s="83" t="s">
        <v>565</v>
      </c>
      <c r="L200" s="83" t="s">
        <v>398</v>
      </c>
      <c r="M200" s="83" t="s">
        <v>399</v>
      </c>
      <c r="N200" s="83" t="s">
        <v>3417</v>
      </c>
      <c r="O200" s="83" t="s">
        <v>106</v>
      </c>
      <c r="P200" s="83">
        <v>1</v>
      </c>
      <c r="Q200" s="83" t="s">
        <v>106</v>
      </c>
      <c r="R200" s="83" t="s">
        <v>3442</v>
      </c>
      <c r="S200" s="83" t="s">
        <v>2991</v>
      </c>
      <c r="T200" s="83" t="s">
        <v>2703</v>
      </c>
      <c r="U200" s="83" t="s">
        <v>401</v>
      </c>
      <c r="AC200" s="83" t="s">
        <v>401</v>
      </c>
      <c r="AD200" s="83">
        <v>105000</v>
      </c>
      <c r="AF200" s="83">
        <v>4000</v>
      </c>
      <c r="AJ200" s="83">
        <v>1</v>
      </c>
      <c r="AK200" s="83">
        <v>1</v>
      </c>
      <c r="AL200" s="83">
        <v>1034</v>
      </c>
      <c r="AM200" s="83" t="s">
        <v>2693</v>
      </c>
      <c r="BK200" s="83" t="s">
        <v>2694</v>
      </c>
      <c r="BL200" s="83" t="s">
        <v>2695</v>
      </c>
      <c r="BM200" s="83" t="s">
        <v>2693</v>
      </c>
      <c r="BN200" s="83" t="s">
        <v>2698</v>
      </c>
      <c r="BO200" s="83" t="s">
        <v>2697</v>
      </c>
      <c r="BP200" s="83" t="s">
        <v>2695</v>
      </c>
      <c r="BQ200" s="83" t="s">
        <v>2699</v>
      </c>
      <c r="BR200" s="83" t="s">
        <v>2693</v>
      </c>
      <c r="BS200" s="83" t="s">
        <v>2699</v>
      </c>
      <c r="BT200" s="83" t="s">
        <v>2696</v>
      </c>
      <c r="BU200" s="83" t="s">
        <v>2699</v>
      </c>
      <c r="BV200" s="83" t="s">
        <v>2697</v>
      </c>
      <c r="BW200" s="83" t="s">
        <v>2698</v>
      </c>
      <c r="BX200" s="83" t="s">
        <v>2696</v>
      </c>
      <c r="BY200" s="83" t="s">
        <v>2699</v>
      </c>
      <c r="BZ200" s="83" t="s">
        <v>2699</v>
      </c>
      <c r="CA200" s="83" t="s">
        <v>2693</v>
      </c>
      <c r="CB200" s="83" t="s">
        <v>2694</v>
      </c>
      <c r="CC200" s="83" t="s">
        <v>2696</v>
      </c>
      <c r="CD200" s="83" t="s">
        <v>2696</v>
      </c>
      <c r="CF200" s="83" t="s">
        <v>1104</v>
      </c>
      <c r="CG200" s="83" t="s">
        <v>1105</v>
      </c>
      <c r="CH200" s="83">
        <v>2</v>
      </c>
      <c r="CI200" s="83" t="s">
        <v>3992</v>
      </c>
      <c r="CJ200" s="83" t="s">
        <v>2701</v>
      </c>
      <c r="CK200" s="144">
        <v>0</v>
      </c>
      <c r="CL200"/>
    </row>
    <row r="201" spans="1:90">
      <c r="A201" s="83" t="s">
        <v>2529</v>
      </c>
      <c r="B201" s="83" t="s">
        <v>2527</v>
      </c>
      <c r="D201" s="83" t="s">
        <v>688</v>
      </c>
      <c r="E201" s="83" t="s">
        <v>894</v>
      </c>
      <c r="F201" s="83" t="s">
        <v>2973</v>
      </c>
      <c r="G201" s="83" t="s">
        <v>2281</v>
      </c>
      <c r="H201" s="83" t="s">
        <v>1201</v>
      </c>
      <c r="I201" s="83" t="s">
        <v>1202</v>
      </c>
      <c r="J201" s="83" t="s">
        <v>1203</v>
      </c>
      <c r="K201" s="83" t="s">
        <v>565</v>
      </c>
      <c r="L201" s="83" t="s">
        <v>398</v>
      </c>
      <c r="M201" s="83" t="s">
        <v>399</v>
      </c>
      <c r="N201" s="83" t="s">
        <v>2899</v>
      </c>
      <c r="O201" s="83" t="s">
        <v>106</v>
      </c>
      <c r="P201" s="83">
        <v>4</v>
      </c>
      <c r="Q201" s="83" t="s">
        <v>106</v>
      </c>
      <c r="R201" s="83" t="s">
        <v>2727</v>
      </c>
      <c r="S201" s="83" t="s">
        <v>2974</v>
      </c>
      <c r="T201" s="83" t="s">
        <v>2843</v>
      </c>
      <c r="U201" s="83" t="s">
        <v>401</v>
      </c>
      <c r="AC201" s="83" t="s">
        <v>401</v>
      </c>
      <c r="AD201" s="83">
        <v>115000</v>
      </c>
      <c r="AF201" s="83">
        <v>1000</v>
      </c>
      <c r="AJ201" s="83">
        <v>1</v>
      </c>
      <c r="AK201" s="83">
        <v>1</v>
      </c>
      <c r="AL201" s="83">
        <v>656</v>
      </c>
      <c r="AM201" s="83" t="s">
        <v>2693</v>
      </c>
      <c r="BK201" s="83" t="s">
        <v>2694</v>
      </c>
      <c r="BL201" s="83" t="s">
        <v>2704</v>
      </c>
      <c r="BM201" s="83" t="s">
        <v>2698</v>
      </c>
      <c r="BN201" s="83" t="s">
        <v>2698</v>
      </c>
      <c r="BO201" s="83" t="s">
        <v>2697</v>
      </c>
      <c r="BP201" s="83" t="s">
        <v>2698</v>
      </c>
      <c r="BQ201" s="83" t="s">
        <v>2699</v>
      </c>
      <c r="BR201" s="83" t="s">
        <v>2693</v>
      </c>
      <c r="BS201" s="83" t="s">
        <v>2699</v>
      </c>
      <c r="BT201" s="83" t="s">
        <v>2696</v>
      </c>
      <c r="BU201" s="83" t="s">
        <v>2699</v>
      </c>
      <c r="BV201" s="83" t="s">
        <v>2696</v>
      </c>
      <c r="BW201" s="83" t="s">
        <v>2698</v>
      </c>
      <c r="BX201" s="83" t="s">
        <v>2696</v>
      </c>
      <c r="BY201" s="83" t="s">
        <v>2699</v>
      </c>
      <c r="BZ201" s="83" t="s">
        <v>2693</v>
      </c>
      <c r="CA201" s="83" t="s">
        <v>2693</v>
      </c>
      <c r="CB201" s="83" t="s">
        <v>2694</v>
      </c>
      <c r="CC201" s="83" t="s">
        <v>2699</v>
      </c>
      <c r="CD201" s="83" t="s">
        <v>2696</v>
      </c>
      <c r="CF201" s="83" t="s">
        <v>2975</v>
      </c>
      <c r="CG201" s="83" t="s">
        <v>2976</v>
      </c>
      <c r="CH201" s="83" t="s">
        <v>2693</v>
      </c>
      <c r="CI201" s="83" t="s">
        <v>3992</v>
      </c>
      <c r="CJ201" s="83" t="s">
        <v>2701</v>
      </c>
      <c r="CK201" s="144">
        <v>2</v>
      </c>
      <c r="CL201"/>
    </row>
    <row r="202" spans="1:90">
      <c r="A202" s="83" t="s">
        <v>2567</v>
      </c>
      <c r="B202" s="83" t="s">
        <v>2569</v>
      </c>
      <c r="D202" s="83" t="s">
        <v>688</v>
      </c>
      <c r="E202" s="83" t="s">
        <v>2568</v>
      </c>
      <c r="F202" s="83" t="s">
        <v>1332</v>
      </c>
      <c r="G202" s="83" t="s">
        <v>2295</v>
      </c>
      <c r="H202" s="83" t="s">
        <v>1201</v>
      </c>
      <c r="I202" s="83" t="s">
        <v>1202</v>
      </c>
      <c r="J202" s="83" t="s">
        <v>1203</v>
      </c>
      <c r="K202" s="83" t="s">
        <v>565</v>
      </c>
      <c r="L202" s="83" t="s">
        <v>398</v>
      </c>
      <c r="M202" s="83" t="s">
        <v>399</v>
      </c>
      <c r="N202" s="83" t="s">
        <v>3001</v>
      </c>
      <c r="O202" s="83" t="s">
        <v>106</v>
      </c>
      <c r="P202" s="83">
        <v>5</v>
      </c>
      <c r="Q202" s="83" t="s">
        <v>106</v>
      </c>
      <c r="R202" s="83" t="s">
        <v>2727</v>
      </c>
      <c r="S202" s="83" t="s">
        <v>2714</v>
      </c>
      <c r="T202" s="83" t="s">
        <v>2843</v>
      </c>
      <c r="U202" s="83" t="s">
        <v>401</v>
      </c>
      <c r="AC202" s="83" t="s">
        <v>401</v>
      </c>
      <c r="AD202" s="83">
        <v>1042000</v>
      </c>
      <c r="AF202" s="83">
        <v>0</v>
      </c>
      <c r="AJ202" s="83">
        <v>1</v>
      </c>
      <c r="AK202" s="83">
        <v>1</v>
      </c>
      <c r="AL202" s="83">
        <v>31456</v>
      </c>
      <c r="AM202" s="83" t="s">
        <v>2693</v>
      </c>
      <c r="BK202" s="83" t="s">
        <v>2694</v>
      </c>
      <c r="BL202" s="83" t="s">
        <v>2696</v>
      </c>
      <c r="BM202" s="83" t="s">
        <v>2696</v>
      </c>
      <c r="BN202" s="83" t="s">
        <v>2698</v>
      </c>
      <c r="BO202" s="83" t="s">
        <v>2696</v>
      </c>
      <c r="BP202" s="83" t="s">
        <v>2699</v>
      </c>
      <c r="BQ202" s="83" t="s">
        <v>2699</v>
      </c>
      <c r="BR202" s="83" t="s">
        <v>2693</v>
      </c>
      <c r="BS202" s="83" t="s">
        <v>2699</v>
      </c>
      <c r="BT202" s="83" t="s">
        <v>2696</v>
      </c>
      <c r="BU202" s="83" t="s">
        <v>2699</v>
      </c>
      <c r="BV202" s="83" t="s">
        <v>2696</v>
      </c>
      <c r="BW202" s="83" t="s">
        <v>2698</v>
      </c>
      <c r="BX202" s="83" t="s">
        <v>2696</v>
      </c>
      <c r="BY202" s="83" t="s">
        <v>2699</v>
      </c>
      <c r="BZ202" s="83" t="s">
        <v>2693</v>
      </c>
      <c r="CA202" s="83" t="s">
        <v>2693</v>
      </c>
      <c r="CB202" s="83" t="s">
        <v>2694</v>
      </c>
      <c r="CC202" s="83" t="s">
        <v>2699</v>
      </c>
      <c r="CD202" s="83" t="s">
        <v>2696</v>
      </c>
      <c r="CF202" s="83" t="s">
        <v>3048</v>
      </c>
      <c r="CG202" s="83" t="s">
        <v>3049</v>
      </c>
      <c r="CH202" s="83" t="s">
        <v>2725</v>
      </c>
      <c r="CI202" s="83" t="s">
        <v>1358</v>
      </c>
      <c r="CJ202" s="83" t="s">
        <v>3007</v>
      </c>
      <c r="CK202" s="144">
        <v>0</v>
      </c>
      <c r="CL202" s="99">
        <v>653000</v>
      </c>
    </row>
    <row r="203" spans="1:90">
      <c r="A203" s="83" t="s">
        <v>1481</v>
      </c>
      <c r="B203" s="83" t="s">
        <v>1636</v>
      </c>
      <c r="D203" s="83" t="s">
        <v>688</v>
      </c>
      <c r="E203" s="83" t="s">
        <v>894</v>
      </c>
      <c r="F203" s="83" t="s">
        <v>1739</v>
      </c>
      <c r="G203" s="83" t="s">
        <v>1857</v>
      </c>
      <c r="H203" s="83" t="s">
        <v>1201</v>
      </c>
      <c r="I203" s="83" t="s">
        <v>1202</v>
      </c>
      <c r="J203" s="83" t="s">
        <v>1203</v>
      </c>
      <c r="K203" s="83" t="s">
        <v>565</v>
      </c>
      <c r="L203" s="83" t="s">
        <v>398</v>
      </c>
      <c r="M203" s="83" t="s">
        <v>399</v>
      </c>
      <c r="N203" s="83" t="s">
        <v>2711</v>
      </c>
      <c r="O203" s="83" t="s">
        <v>106</v>
      </c>
      <c r="P203" s="83">
        <v>4</v>
      </c>
      <c r="Q203" s="83" t="s">
        <v>106</v>
      </c>
      <c r="R203" s="83" t="s">
        <v>2691</v>
      </c>
      <c r="S203" s="83" t="s">
        <v>1446</v>
      </c>
      <c r="T203" s="83" t="s">
        <v>2703</v>
      </c>
      <c r="U203" s="83" t="s">
        <v>401</v>
      </c>
      <c r="AC203" s="83" t="s">
        <v>401</v>
      </c>
      <c r="AD203" s="83">
        <v>90000</v>
      </c>
      <c r="AF203" s="83">
        <v>2000</v>
      </c>
      <c r="AJ203" s="83">
        <v>1</v>
      </c>
      <c r="AK203" s="83">
        <v>1</v>
      </c>
      <c r="AL203" s="83">
        <v>648</v>
      </c>
      <c r="AM203" s="83" t="s">
        <v>2693</v>
      </c>
      <c r="BK203" s="83" t="s">
        <v>2694</v>
      </c>
      <c r="BL203" s="83" t="s">
        <v>2699</v>
      </c>
      <c r="BM203" s="83" t="s">
        <v>2698</v>
      </c>
      <c r="BN203" s="83" t="s">
        <v>2697</v>
      </c>
      <c r="BO203" s="83" t="s">
        <v>2697</v>
      </c>
      <c r="BP203" s="83" t="s">
        <v>2695</v>
      </c>
      <c r="BQ203" s="83" t="s">
        <v>2693</v>
      </c>
      <c r="BR203" s="83" t="s">
        <v>2693</v>
      </c>
      <c r="BS203" s="83" t="s">
        <v>2699</v>
      </c>
      <c r="BT203" s="83">
        <v>0</v>
      </c>
      <c r="BU203" s="83" t="s">
        <v>2699</v>
      </c>
      <c r="BV203" s="83" t="s">
        <v>2696</v>
      </c>
      <c r="BW203" s="83" t="s">
        <v>2696</v>
      </c>
      <c r="BX203" s="83" t="s">
        <v>2696</v>
      </c>
      <c r="BY203" s="83" t="s">
        <v>2699</v>
      </c>
      <c r="BZ203" s="83" t="s">
        <v>2699</v>
      </c>
      <c r="CA203" s="83" t="s">
        <v>2693</v>
      </c>
      <c r="CB203" s="83">
        <v>9</v>
      </c>
      <c r="CC203" s="83" t="s">
        <v>2699</v>
      </c>
      <c r="CD203" s="83" t="s">
        <v>2696</v>
      </c>
      <c r="CF203" s="83" t="s">
        <v>2187</v>
      </c>
      <c r="CG203" s="83" t="s">
        <v>2188</v>
      </c>
      <c r="CH203" s="83" t="s">
        <v>2693</v>
      </c>
      <c r="CI203" s="83" t="s">
        <v>3992</v>
      </c>
      <c r="CJ203" s="83" t="s">
        <v>2701</v>
      </c>
      <c r="CK203" s="144">
        <v>0</v>
      </c>
      <c r="CL203" s="99">
        <v>162000</v>
      </c>
    </row>
    <row r="204" spans="1:90">
      <c r="A204" s="83" t="s">
        <v>1132</v>
      </c>
      <c r="B204" s="83" t="s">
        <v>2385</v>
      </c>
      <c r="D204" s="83" t="s">
        <v>688</v>
      </c>
      <c r="E204" s="83" t="s">
        <v>894</v>
      </c>
      <c r="F204" s="83" t="s">
        <v>3443</v>
      </c>
      <c r="G204" s="83" t="s">
        <v>1159</v>
      </c>
      <c r="H204" s="83" t="s">
        <v>1201</v>
      </c>
      <c r="I204" s="83" t="s">
        <v>1202</v>
      </c>
      <c r="J204" s="83" t="s">
        <v>1203</v>
      </c>
      <c r="K204" s="83" t="s">
        <v>565</v>
      </c>
      <c r="L204" s="83" t="s">
        <v>398</v>
      </c>
      <c r="M204" s="83" t="s">
        <v>399</v>
      </c>
      <c r="N204" s="83" t="s">
        <v>2690</v>
      </c>
      <c r="O204" s="83" t="s">
        <v>106</v>
      </c>
      <c r="P204" s="83">
        <v>4</v>
      </c>
      <c r="Q204" s="83" t="s">
        <v>106</v>
      </c>
      <c r="R204" s="83" t="s">
        <v>3444</v>
      </c>
      <c r="S204" s="83" t="s">
        <v>1456</v>
      </c>
      <c r="T204" s="83" t="s">
        <v>2703</v>
      </c>
      <c r="U204" s="83" t="s">
        <v>401</v>
      </c>
      <c r="AC204" s="83" t="s">
        <v>401</v>
      </c>
      <c r="AD204" s="83">
        <v>22000</v>
      </c>
      <c r="AF204" s="83">
        <v>0</v>
      </c>
      <c r="AJ204" s="83">
        <v>1</v>
      </c>
      <c r="AK204" s="83">
        <v>1</v>
      </c>
      <c r="AL204" s="83">
        <v>160</v>
      </c>
      <c r="AM204" s="83" t="s">
        <v>2693</v>
      </c>
      <c r="BK204" s="83" t="s">
        <v>2694</v>
      </c>
      <c r="BL204" s="83" t="s">
        <v>2704</v>
      </c>
      <c r="BM204" s="83" t="s">
        <v>2698</v>
      </c>
      <c r="BN204" s="83" t="s">
        <v>2698</v>
      </c>
      <c r="BO204" s="83" t="s">
        <v>2697</v>
      </c>
      <c r="BP204" s="83" t="s">
        <v>2695</v>
      </c>
      <c r="BQ204" s="83" t="s">
        <v>2699</v>
      </c>
      <c r="BR204" s="83" t="s">
        <v>2693</v>
      </c>
      <c r="BS204" s="83" t="s">
        <v>2699</v>
      </c>
      <c r="BT204" s="83" t="s">
        <v>2696</v>
      </c>
      <c r="BU204" s="83" t="s">
        <v>2699</v>
      </c>
      <c r="BV204" s="83" t="s">
        <v>2697</v>
      </c>
      <c r="BW204" s="83" t="s">
        <v>2698</v>
      </c>
      <c r="BX204" s="83" t="s">
        <v>2696</v>
      </c>
      <c r="BY204" s="83" t="s">
        <v>2699</v>
      </c>
      <c r="BZ204" s="83" t="s">
        <v>2699</v>
      </c>
      <c r="CA204" s="83" t="s">
        <v>2693</v>
      </c>
      <c r="CB204" s="83" t="s">
        <v>2694</v>
      </c>
      <c r="CC204" s="83" t="s">
        <v>2696</v>
      </c>
      <c r="CD204" s="83" t="s">
        <v>2696</v>
      </c>
      <c r="CF204" s="83" t="s">
        <v>820</v>
      </c>
      <c r="CG204" s="83" t="s">
        <v>821</v>
      </c>
      <c r="CH204" s="83" t="s">
        <v>2693</v>
      </c>
      <c r="CI204" s="83" t="s">
        <v>3992</v>
      </c>
      <c r="CJ204" s="83" t="s">
        <v>2701</v>
      </c>
      <c r="CK204" s="144">
        <v>3</v>
      </c>
      <c r="CL204" s="99">
        <v>302000</v>
      </c>
    </row>
    <row r="205" spans="1:90">
      <c r="A205" s="83" t="s">
        <v>1208</v>
      </c>
      <c r="B205" s="83" t="s">
        <v>1238</v>
      </c>
      <c r="D205" s="83" t="s">
        <v>673</v>
      </c>
      <c r="E205" s="83" t="s">
        <v>770</v>
      </c>
      <c r="F205" s="83" t="s">
        <v>1292</v>
      </c>
      <c r="G205" s="83" t="s">
        <v>1175</v>
      </c>
      <c r="H205" s="83" t="s">
        <v>1201</v>
      </c>
      <c r="I205" s="83" t="s">
        <v>1202</v>
      </c>
      <c r="J205" s="83" t="s">
        <v>1203</v>
      </c>
      <c r="K205" s="83" t="s">
        <v>565</v>
      </c>
      <c r="L205" s="83" t="s">
        <v>398</v>
      </c>
      <c r="M205" s="83" t="s">
        <v>399</v>
      </c>
      <c r="N205" s="83" t="s">
        <v>2709</v>
      </c>
      <c r="O205" s="83" t="s">
        <v>106</v>
      </c>
      <c r="P205" s="83">
        <v>1</v>
      </c>
      <c r="Q205" s="83" t="s">
        <v>106</v>
      </c>
      <c r="R205" s="83" t="s">
        <v>2789</v>
      </c>
      <c r="S205" s="83" t="s">
        <v>2714</v>
      </c>
      <c r="T205" s="83" t="s">
        <v>2703</v>
      </c>
      <c r="U205" s="83" t="s">
        <v>401</v>
      </c>
      <c r="AC205" s="83" t="s">
        <v>401</v>
      </c>
      <c r="AJ205" s="83">
        <v>1</v>
      </c>
      <c r="AK205" s="83">
        <v>1</v>
      </c>
      <c r="AL205" s="83">
        <v>970</v>
      </c>
      <c r="AM205" s="83" t="s">
        <v>2693</v>
      </c>
      <c r="BK205" s="83" t="s">
        <v>2694</v>
      </c>
      <c r="BL205" s="83" t="s">
        <v>2697</v>
      </c>
      <c r="BM205" s="83" t="s">
        <v>2693</v>
      </c>
      <c r="BN205" s="83" t="s">
        <v>2696</v>
      </c>
      <c r="BO205" s="83" t="s">
        <v>2696</v>
      </c>
      <c r="BP205" s="83" t="s">
        <v>2696</v>
      </c>
      <c r="BQ205" s="83" t="s">
        <v>2696</v>
      </c>
      <c r="BR205" s="83" t="s">
        <v>2696</v>
      </c>
      <c r="BS205" s="83" t="s">
        <v>2696</v>
      </c>
      <c r="BT205" s="83" t="s">
        <v>2696</v>
      </c>
      <c r="BU205" s="83" t="s">
        <v>2699</v>
      </c>
      <c r="BV205" s="83" t="s">
        <v>2696</v>
      </c>
      <c r="BW205" s="83" t="s">
        <v>2696</v>
      </c>
      <c r="BX205" s="83" t="s">
        <v>2696</v>
      </c>
      <c r="BY205" s="83" t="s">
        <v>2696</v>
      </c>
      <c r="BZ205" s="83" t="s">
        <v>2696</v>
      </c>
      <c r="CA205" s="83" t="s">
        <v>2696</v>
      </c>
      <c r="CB205" s="83">
        <v>9</v>
      </c>
      <c r="CC205" s="83" t="s">
        <v>2696</v>
      </c>
      <c r="CD205" s="83" t="s">
        <v>2696</v>
      </c>
      <c r="CF205" s="83" t="s">
        <v>2258</v>
      </c>
      <c r="CG205" s="83" t="s">
        <v>2259</v>
      </c>
      <c r="CH205" s="83" t="s">
        <v>2699</v>
      </c>
      <c r="CI205" s="83">
        <v>1</v>
      </c>
      <c r="CJ205" s="83" t="s">
        <v>2734</v>
      </c>
      <c r="CK205" s="144">
        <v>0</v>
      </c>
      <c r="CL205"/>
    </row>
    <row r="206" spans="1:90">
      <c r="A206" s="83" t="s">
        <v>1208</v>
      </c>
      <c r="B206" s="83" t="s">
        <v>1238</v>
      </c>
      <c r="D206" s="83" t="s">
        <v>688</v>
      </c>
      <c r="E206" s="83" t="s">
        <v>1261</v>
      </c>
      <c r="F206" s="83" t="s">
        <v>1292</v>
      </c>
      <c r="G206" s="83" t="s">
        <v>1175</v>
      </c>
      <c r="H206" s="83" t="s">
        <v>1201</v>
      </c>
      <c r="I206" s="83" t="s">
        <v>1202</v>
      </c>
      <c r="J206" s="83" t="s">
        <v>1203</v>
      </c>
      <c r="K206" s="83" t="s">
        <v>565</v>
      </c>
      <c r="L206" s="83" t="s">
        <v>398</v>
      </c>
      <c r="M206" s="83" t="s">
        <v>399</v>
      </c>
      <c r="N206" s="83" t="s">
        <v>2709</v>
      </c>
      <c r="O206" s="83" t="s">
        <v>106</v>
      </c>
      <c r="P206" s="83">
        <v>8</v>
      </c>
      <c r="Q206" s="83" t="s">
        <v>106</v>
      </c>
      <c r="R206" s="83" t="s">
        <v>2691</v>
      </c>
      <c r="S206" s="83" t="s">
        <v>1446</v>
      </c>
      <c r="T206" s="83" t="s">
        <v>2703</v>
      </c>
      <c r="U206" s="83" t="s">
        <v>401</v>
      </c>
      <c r="AC206" s="83" t="s">
        <v>401</v>
      </c>
      <c r="AD206" s="83">
        <v>1513000</v>
      </c>
      <c r="AF206" s="83">
        <v>59000</v>
      </c>
      <c r="AJ206" s="83">
        <v>1</v>
      </c>
      <c r="AK206" s="83">
        <v>2</v>
      </c>
      <c r="AL206" s="83">
        <v>6000</v>
      </c>
      <c r="AM206" s="83" t="s">
        <v>2693</v>
      </c>
      <c r="BK206" s="83" t="s">
        <v>2694</v>
      </c>
      <c r="BL206" s="83" t="s">
        <v>2693</v>
      </c>
      <c r="BM206" s="83" t="s">
        <v>2698</v>
      </c>
      <c r="BN206" s="83" t="s">
        <v>2698</v>
      </c>
      <c r="BO206" s="83" t="s">
        <v>2697</v>
      </c>
      <c r="BP206" s="83" t="s">
        <v>2697</v>
      </c>
      <c r="BQ206" s="83" t="s">
        <v>2699</v>
      </c>
      <c r="BR206" s="83" t="s">
        <v>2693</v>
      </c>
      <c r="BS206" s="83" t="s">
        <v>2699</v>
      </c>
      <c r="BT206" s="83" t="s">
        <v>2696</v>
      </c>
      <c r="BU206" s="83">
        <v>1</v>
      </c>
      <c r="BV206" s="83" t="s">
        <v>2699</v>
      </c>
      <c r="BW206" s="83" t="s">
        <v>2699</v>
      </c>
      <c r="BX206" s="83" t="s">
        <v>2696</v>
      </c>
      <c r="BY206" s="83" t="s">
        <v>2699</v>
      </c>
      <c r="BZ206" s="83" t="s">
        <v>2693</v>
      </c>
      <c r="CA206" s="83" t="s">
        <v>2696</v>
      </c>
      <c r="CB206" s="83" t="s">
        <v>2696</v>
      </c>
      <c r="CC206" s="83" t="s">
        <v>2696</v>
      </c>
      <c r="CD206" s="83" t="s">
        <v>2696</v>
      </c>
      <c r="CF206" s="83" t="s">
        <v>1350</v>
      </c>
      <c r="CG206" s="83" t="s">
        <v>1351</v>
      </c>
      <c r="CH206" s="83" t="s">
        <v>2695</v>
      </c>
      <c r="CI206" s="83" t="s">
        <v>648</v>
      </c>
      <c r="CJ206" s="83" t="s">
        <v>2863</v>
      </c>
      <c r="CK206" s="144">
        <v>0</v>
      </c>
      <c r="CL206" s="99">
        <v>236000</v>
      </c>
    </row>
    <row r="207" spans="1:90">
      <c r="A207" s="79" t="s">
        <v>3751</v>
      </c>
      <c r="B207" s="79" t="s">
        <v>3797</v>
      </c>
      <c r="C207" s="79"/>
      <c r="D207" s="79" t="s">
        <v>673</v>
      </c>
      <c r="E207" s="79" t="s">
        <v>770</v>
      </c>
      <c r="F207" s="79">
        <v>1701</v>
      </c>
      <c r="G207" s="79" t="s">
        <v>1175</v>
      </c>
      <c r="H207" s="79" t="s">
        <v>1201</v>
      </c>
      <c r="I207" s="79" t="s">
        <v>1202</v>
      </c>
      <c r="J207" s="79" t="s">
        <v>1203</v>
      </c>
      <c r="K207" s="79" t="s">
        <v>565</v>
      </c>
      <c r="L207" s="79" t="s">
        <v>398</v>
      </c>
      <c r="M207" s="79" t="s">
        <v>399</v>
      </c>
      <c r="N207" s="79" t="s">
        <v>2709</v>
      </c>
      <c r="O207" s="79" t="s">
        <v>106</v>
      </c>
      <c r="P207" s="79">
        <v>1</v>
      </c>
      <c r="Q207" s="79" t="s">
        <v>106</v>
      </c>
      <c r="R207" s="79">
        <v>40</v>
      </c>
      <c r="S207" s="90">
        <v>37986</v>
      </c>
      <c r="T207" s="79" t="s">
        <v>2703</v>
      </c>
      <c r="U207" s="79" t="s">
        <v>401</v>
      </c>
      <c r="AC207" s="79" t="s">
        <v>401</v>
      </c>
      <c r="AD207" s="79">
        <v>81000</v>
      </c>
      <c r="AE207" s="79"/>
      <c r="AF207" s="79">
        <v>0</v>
      </c>
      <c r="AG207" s="79"/>
      <c r="AH207" s="79"/>
      <c r="AI207" s="79"/>
      <c r="AJ207" s="79">
        <v>1</v>
      </c>
      <c r="AK207" s="83">
        <v>1</v>
      </c>
      <c r="AL207" s="79">
        <v>1128</v>
      </c>
      <c r="AM207" s="79" t="s">
        <v>2693</v>
      </c>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79"/>
      <c r="BJ207" s="79"/>
      <c r="BK207" s="79">
        <v>9</v>
      </c>
      <c r="BL207" s="79">
        <v>7</v>
      </c>
      <c r="BM207" s="79">
        <v>5</v>
      </c>
      <c r="BN207" s="79">
        <v>5</v>
      </c>
      <c r="BO207" s="79">
        <v>2</v>
      </c>
      <c r="BP207" s="79">
        <v>5</v>
      </c>
      <c r="BQ207" s="79">
        <v>1</v>
      </c>
      <c r="BR207" s="79">
        <v>2</v>
      </c>
      <c r="BS207" s="79">
        <v>1</v>
      </c>
      <c r="BT207" s="79">
        <v>0</v>
      </c>
      <c r="BU207" s="79">
        <v>1</v>
      </c>
      <c r="BV207" s="79">
        <v>0</v>
      </c>
      <c r="BW207" s="79">
        <v>2</v>
      </c>
      <c r="BX207" s="83">
        <v>0</v>
      </c>
      <c r="BY207" s="79">
        <v>1</v>
      </c>
      <c r="BZ207" s="79">
        <v>0</v>
      </c>
      <c r="CA207" s="79">
        <v>1</v>
      </c>
      <c r="CB207" s="79">
        <v>9</v>
      </c>
      <c r="CC207" s="79">
        <v>1</v>
      </c>
      <c r="CD207" s="83" t="s">
        <v>2696</v>
      </c>
      <c r="CE207" s="79"/>
      <c r="CF207" s="79" t="s">
        <v>3896</v>
      </c>
      <c r="CG207" s="79" t="s">
        <v>3897</v>
      </c>
      <c r="CH207" s="79" t="s">
        <v>2699</v>
      </c>
      <c r="CI207" s="79">
        <v>1</v>
      </c>
      <c r="CJ207" s="83" t="s">
        <v>2734</v>
      </c>
      <c r="CK207" s="144">
        <v>0</v>
      </c>
      <c r="CL207"/>
    </row>
    <row r="208" spans="1:90">
      <c r="A208" s="83" t="s">
        <v>1556</v>
      </c>
      <c r="B208" s="83" t="s">
        <v>1637</v>
      </c>
      <c r="D208" s="83" t="s">
        <v>688</v>
      </c>
      <c r="E208" s="83" t="s">
        <v>894</v>
      </c>
      <c r="F208" s="83" t="s">
        <v>1740</v>
      </c>
      <c r="G208" s="83" t="s">
        <v>1858</v>
      </c>
      <c r="H208" s="83" t="s">
        <v>1201</v>
      </c>
      <c r="I208" s="83" t="s">
        <v>1202</v>
      </c>
      <c r="J208" s="83" t="s">
        <v>1203</v>
      </c>
      <c r="K208" s="83" t="s">
        <v>565</v>
      </c>
      <c r="L208" s="83" t="s">
        <v>398</v>
      </c>
      <c r="M208" s="83" t="s">
        <v>399</v>
      </c>
      <c r="N208" s="83" t="s">
        <v>2743</v>
      </c>
      <c r="O208" s="83" t="s">
        <v>106</v>
      </c>
      <c r="P208" s="83">
        <v>4</v>
      </c>
      <c r="Q208" s="83" t="s">
        <v>106</v>
      </c>
      <c r="R208" s="83" t="s">
        <v>2691</v>
      </c>
      <c r="S208" s="83" t="s">
        <v>2720</v>
      </c>
      <c r="T208" s="83" t="s">
        <v>2703</v>
      </c>
      <c r="U208" s="83" t="s">
        <v>401</v>
      </c>
      <c r="AC208" s="83" t="s">
        <v>401</v>
      </c>
      <c r="AD208" s="83">
        <v>12000</v>
      </c>
      <c r="AF208" s="83">
        <v>0</v>
      </c>
      <c r="AJ208" s="83">
        <v>1</v>
      </c>
      <c r="AK208" s="83">
        <v>1</v>
      </c>
      <c r="AL208" s="83">
        <v>128</v>
      </c>
      <c r="AM208" s="83" t="s">
        <v>2693</v>
      </c>
      <c r="BK208" s="83" t="s">
        <v>2694</v>
      </c>
      <c r="BL208" s="83" t="s">
        <v>2699</v>
      </c>
      <c r="BM208" s="83" t="s">
        <v>2693</v>
      </c>
      <c r="BN208" s="83" t="s">
        <v>2696</v>
      </c>
      <c r="BO208" s="83" t="s">
        <v>2695</v>
      </c>
      <c r="BP208" s="83" t="s">
        <v>2698</v>
      </c>
      <c r="BQ208" s="83" t="s">
        <v>2693</v>
      </c>
      <c r="BR208" s="83" t="s">
        <v>2693</v>
      </c>
      <c r="BS208" s="83" t="s">
        <v>2693</v>
      </c>
      <c r="BT208" s="83">
        <v>0</v>
      </c>
      <c r="BU208" s="83" t="s">
        <v>2699</v>
      </c>
      <c r="BV208" s="83" t="s">
        <v>2696</v>
      </c>
      <c r="BW208" s="83" t="s">
        <v>2698</v>
      </c>
      <c r="BX208" s="83" t="s">
        <v>2696</v>
      </c>
      <c r="BY208" s="83" t="s">
        <v>2699</v>
      </c>
      <c r="BZ208" s="83" t="s">
        <v>2693</v>
      </c>
      <c r="CA208" s="83" t="s">
        <v>2693</v>
      </c>
      <c r="CB208" s="83">
        <v>9</v>
      </c>
      <c r="CC208" s="83" t="s">
        <v>2699</v>
      </c>
      <c r="CD208" s="83" t="s">
        <v>2696</v>
      </c>
      <c r="CF208" s="83" t="s">
        <v>2113</v>
      </c>
      <c r="CG208" s="83" t="s">
        <v>2114</v>
      </c>
      <c r="CH208" s="83" t="s">
        <v>2693</v>
      </c>
      <c r="CI208" s="83" t="s">
        <v>3992</v>
      </c>
      <c r="CJ208" s="83" t="s">
        <v>2701</v>
      </c>
      <c r="CK208" s="144">
        <v>0</v>
      </c>
      <c r="CL208" s="99">
        <v>6000</v>
      </c>
    </row>
    <row r="209" spans="1:90">
      <c r="A209" s="83" t="s">
        <v>1112</v>
      </c>
      <c r="B209" s="83" t="s">
        <v>739</v>
      </c>
      <c r="D209" s="83" t="s">
        <v>688</v>
      </c>
      <c r="E209" s="83" t="s">
        <v>3445</v>
      </c>
      <c r="F209" s="83" t="s">
        <v>1707</v>
      </c>
      <c r="G209" s="83" t="s">
        <v>1160</v>
      </c>
      <c r="H209" s="83" t="s">
        <v>1201</v>
      </c>
      <c r="I209" s="83" t="s">
        <v>1202</v>
      </c>
      <c r="J209" s="83" t="s">
        <v>1203</v>
      </c>
      <c r="K209" s="83" t="s">
        <v>565</v>
      </c>
      <c r="L209" s="83" t="s">
        <v>398</v>
      </c>
      <c r="M209" s="83" t="s">
        <v>399</v>
      </c>
      <c r="N209" s="83" t="s">
        <v>3057</v>
      </c>
      <c r="O209" s="83" t="s">
        <v>106</v>
      </c>
      <c r="P209" s="83">
        <v>4</v>
      </c>
      <c r="Q209" s="83" t="s">
        <v>106</v>
      </c>
      <c r="R209" s="83" t="s">
        <v>3446</v>
      </c>
      <c r="S209" s="83" t="s">
        <v>2793</v>
      </c>
      <c r="T209" s="83" t="s">
        <v>2703</v>
      </c>
      <c r="U209" s="83" t="s">
        <v>401</v>
      </c>
      <c r="AC209" s="83" t="s">
        <v>401</v>
      </c>
      <c r="AD209" s="83">
        <v>34000</v>
      </c>
      <c r="AF209" s="83">
        <v>0</v>
      </c>
      <c r="AJ209" s="83">
        <v>1</v>
      </c>
      <c r="AK209" s="83">
        <v>1</v>
      </c>
      <c r="AL209" s="83">
        <v>180</v>
      </c>
      <c r="AM209" s="83" t="s">
        <v>2693</v>
      </c>
      <c r="BK209" s="83" t="s">
        <v>2694</v>
      </c>
      <c r="BL209" s="83" t="s">
        <v>2693</v>
      </c>
      <c r="BM209" s="83" t="s">
        <v>2697</v>
      </c>
      <c r="BN209" s="83" t="s">
        <v>2698</v>
      </c>
      <c r="BO209" s="83" t="s">
        <v>2697</v>
      </c>
      <c r="BP209" s="83" t="s">
        <v>2695</v>
      </c>
      <c r="BQ209" s="83" t="s">
        <v>2699</v>
      </c>
      <c r="BR209" s="83" t="s">
        <v>2693</v>
      </c>
      <c r="BS209" s="83" t="s">
        <v>2699</v>
      </c>
      <c r="BT209" s="83" t="s">
        <v>2696</v>
      </c>
      <c r="BU209" s="83" t="s">
        <v>2699</v>
      </c>
      <c r="BV209" s="83" t="s">
        <v>2697</v>
      </c>
      <c r="BW209" s="83" t="s">
        <v>2698</v>
      </c>
      <c r="BX209" s="83" t="s">
        <v>2696</v>
      </c>
      <c r="BY209" s="83" t="s">
        <v>2699</v>
      </c>
      <c r="BZ209" s="83" t="s">
        <v>2699</v>
      </c>
      <c r="CA209" s="83" t="s">
        <v>2693</v>
      </c>
      <c r="CB209" s="83" t="s">
        <v>2694</v>
      </c>
      <c r="CC209" s="83" t="s">
        <v>2696</v>
      </c>
      <c r="CD209" s="83" t="s">
        <v>2696</v>
      </c>
      <c r="CF209" s="83" t="s">
        <v>3447</v>
      </c>
      <c r="CG209" s="83" t="s">
        <v>3448</v>
      </c>
      <c r="CH209" s="83" t="s">
        <v>2693</v>
      </c>
      <c r="CI209" s="83" t="s">
        <v>3992</v>
      </c>
      <c r="CJ209" s="83" t="s">
        <v>2701</v>
      </c>
      <c r="CK209" s="144">
        <v>1</v>
      </c>
      <c r="CL209" s="99">
        <v>258000</v>
      </c>
    </row>
    <row r="210" spans="1:90">
      <c r="A210" s="83" t="s">
        <v>2625</v>
      </c>
      <c r="B210" s="83" t="s">
        <v>2624</v>
      </c>
      <c r="D210" s="83" t="s">
        <v>688</v>
      </c>
      <c r="E210" s="83" t="s">
        <v>2491</v>
      </c>
      <c r="F210" s="83" t="s">
        <v>3317</v>
      </c>
      <c r="G210" s="83" t="s">
        <v>2329</v>
      </c>
      <c r="H210" s="83" t="s">
        <v>1201</v>
      </c>
      <c r="I210" s="83" t="s">
        <v>1202</v>
      </c>
      <c r="J210" s="83" t="s">
        <v>1203</v>
      </c>
      <c r="K210" s="83" t="s">
        <v>565</v>
      </c>
      <c r="L210" s="83" t="s">
        <v>398</v>
      </c>
      <c r="M210" s="83" t="s">
        <v>399</v>
      </c>
      <c r="N210" s="83" t="s">
        <v>3277</v>
      </c>
      <c r="O210" s="83" t="s">
        <v>106</v>
      </c>
      <c r="P210" s="83">
        <v>4</v>
      </c>
      <c r="Q210" s="83" t="s">
        <v>106</v>
      </c>
      <c r="R210" s="83" t="s">
        <v>2727</v>
      </c>
      <c r="S210" s="83" t="s">
        <v>2712</v>
      </c>
      <c r="T210" s="83" t="s">
        <v>2843</v>
      </c>
      <c r="U210" s="83" t="s">
        <v>401</v>
      </c>
      <c r="AC210" s="83" t="s">
        <v>401</v>
      </c>
      <c r="AD210" s="83">
        <v>53000</v>
      </c>
      <c r="AF210" s="83">
        <v>5000</v>
      </c>
      <c r="AJ210" s="83">
        <v>1</v>
      </c>
      <c r="AK210" s="83">
        <v>1</v>
      </c>
      <c r="AL210" s="83">
        <v>600</v>
      </c>
      <c r="AM210" s="83" t="s">
        <v>2693</v>
      </c>
      <c r="BK210" s="83" t="s">
        <v>2694</v>
      </c>
      <c r="BL210" s="83" t="s">
        <v>2704</v>
      </c>
      <c r="BM210" s="83" t="s">
        <v>2697</v>
      </c>
      <c r="BN210" s="83" t="s">
        <v>2698</v>
      </c>
      <c r="BO210" s="83" t="s">
        <v>2697</v>
      </c>
      <c r="BP210" s="83" t="s">
        <v>2698</v>
      </c>
      <c r="BQ210" s="83" t="s">
        <v>2699</v>
      </c>
      <c r="BR210" s="83" t="s">
        <v>2693</v>
      </c>
      <c r="BS210" s="83" t="s">
        <v>2699</v>
      </c>
      <c r="BT210" s="83" t="s">
        <v>2696</v>
      </c>
      <c r="BU210" s="83" t="s">
        <v>2699</v>
      </c>
      <c r="BV210" s="83" t="s">
        <v>2696</v>
      </c>
      <c r="BW210" s="83" t="s">
        <v>2698</v>
      </c>
      <c r="BX210" s="83" t="s">
        <v>2696</v>
      </c>
      <c r="BY210" s="83" t="s">
        <v>2699</v>
      </c>
      <c r="BZ210" s="83" t="s">
        <v>2693</v>
      </c>
      <c r="CA210" s="83" t="s">
        <v>2693</v>
      </c>
      <c r="CB210" s="83" t="s">
        <v>2730</v>
      </c>
      <c r="CC210" s="83" t="s">
        <v>2699</v>
      </c>
      <c r="CD210" s="83" t="s">
        <v>2696</v>
      </c>
      <c r="CF210" s="83" t="s">
        <v>3318</v>
      </c>
      <c r="CG210" s="83" t="s">
        <v>3319</v>
      </c>
      <c r="CH210" s="83" t="s">
        <v>2693</v>
      </c>
      <c r="CI210" s="83" t="s">
        <v>3992</v>
      </c>
      <c r="CJ210" s="83" t="s">
        <v>2701</v>
      </c>
      <c r="CK210" s="144">
        <v>0</v>
      </c>
      <c r="CL210" s="99">
        <v>255000</v>
      </c>
    </row>
    <row r="211" spans="1:90">
      <c r="A211" s="83" t="s">
        <v>2625</v>
      </c>
      <c r="B211" s="83" t="s">
        <v>2624</v>
      </c>
      <c r="D211" s="83" t="s">
        <v>673</v>
      </c>
      <c r="E211" s="83" t="s">
        <v>894</v>
      </c>
      <c r="F211" s="83" t="s">
        <v>3317</v>
      </c>
      <c r="G211" s="83" t="s">
        <v>2329</v>
      </c>
      <c r="H211" s="83" t="s">
        <v>1201</v>
      </c>
      <c r="I211" s="83" t="s">
        <v>1202</v>
      </c>
      <c r="J211" s="83" t="s">
        <v>1203</v>
      </c>
      <c r="K211" s="83" t="s">
        <v>565</v>
      </c>
      <c r="L211" s="83" t="s">
        <v>398</v>
      </c>
      <c r="M211" s="83" t="s">
        <v>399</v>
      </c>
      <c r="N211" s="83" t="s">
        <v>3277</v>
      </c>
      <c r="O211" s="83" t="s">
        <v>106</v>
      </c>
      <c r="P211" s="83">
        <v>4</v>
      </c>
      <c r="Q211" s="83" t="s">
        <v>106</v>
      </c>
      <c r="R211" s="83" t="s">
        <v>2727</v>
      </c>
      <c r="S211" s="83" t="s">
        <v>2712</v>
      </c>
      <c r="T211" s="83" t="s">
        <v>2843</v>
      </c>
      <c r="U211" s="83" t="s">
        <v>401</v>
      </c>
      <c r="AC211" s="83" t="s">
        <v>401</v>
      </c>
      <c r="AD211" s="83">
        <v>59000</v>
      </c>
      <c r="AF211" s="83">
        <v>1000</v>
      </c>
      <c r="AJ211" s="83">
        <v>1</v>
      </c>
      <c r="AK211" s="83">
        <v>1</v>
      </c>
      <c r="AL211" s="83">
        <v>456</v>
      </c>
      <c r="AM211" s="83" t="s">
        <v>2693</v>
      </c>
      <c r="BK211" s="83" t="s">
        <v>2694</v>
      </c>
      <c r="BL211" s="83" t="s">
        <v>2704</v>
      </c>
      <c r="BM211" s="83" t="s">
        <v>2697</v>
      </c>
      <c r="BN211" s="83" t="s">
        <v>2698</v>
      </c>
      <c r="BO211" s="83" t="s">
        <v>2697</v>
      </c>
      <c r="BP211" s="83" t="s">
        <v>2698</v>
      </c>
      <c r="BQ211" s="83" t="s">
        <v>2699</v>
      </c>
      <c r="BR211" s="83" t="s">
        <v>2693</v>
      </c>
      <c r="BS211" s="83" t="s">
        <v>2699</v>
      </c>
      <c r="BT211" s="83" t="s">
        <v>2696</v>
      </c>
      <c r="BU211" s="83" t="s">
        <v>2699</v>
      </c>
      <c r="BV211" s="83" t="s">
        <v>2696</v>
      </c>
      <c r="BW211" s="83" t="s">
        <v>2698</v>
      </c>
      <c r="BX211" s="83" t="s">
        <v>2696</v>
      </c>
      <c r="BY211" s="83" t="s">
        <v>2699</v>
      </c>
      <c r="BZ211" s="83" t="s">
        <v>2693</v>
      </c>
      <c r="CA211" s="83" t="s">
        <v>2693</v>
      </c>
      <c r="CB211" s="83" t="s">
        <v>2694</v>
      </c>
      <c r="CC211" s="83" t="s">
        <v>2699</v>
      </c>
      <c r="CD211" s="83" t="s">
        <v>2696</v>
      </c>
      <c r="CF211" s="83" t="s">
        <v>3320</v>
      </c>
      <c r="CG211" s="83" t="s">
        <v>3321</v>
      </c>
      <c r="CH211" s="83" t="s">
        <v>2693</v>
      </c>
      <c r="CI211" s="83" t="s">
        <v>3992</v>
      </c>
      <c r="CJ211" s="83" t="s">
        <v>2701</v>
      </c>
      <c r="CK211" s="144">
        <v>0</v>
      </c>
      <c r="CL211"/>
    </row>
    <row r="212" spans="1:90">
      <c r="A212" s="83" t="s">
        <v>1513</v>
      </c>
      <c r="B212" s="83" t="s">
        <v>1638</v>
      </c>
      <c r="D212" s="83" t="s">
        <v>688</v>
      </c>
      <c r="E212" s="83" t="s">
        <v>2387</v>
      </c>
      <c r="F212" s="83" t="s">
        <v>1741</v>
      </c>
      <c r="G212" s="83" t="s">
        <v>1859</v>
      </c>
      <c r="H212" s="83" t="s">
        <v>1201</v>
      </c>
      <c r="I212" s="83" t="s">
        <v>1202</v>
      </c>
      <c r="J212" s="83" t="s">
        <v>1203</v>
      </c>
      <c r="K212" s="83" t="s">
        <v>565</v>
      </c>
      <c r="L212" s="83" t="s">
        <v>398</v>
      </c>
      <c r="M212" s="83" t="s">
        <v>399</v>
      </c>
      <c r="N212" s="83" t="s">
        <v>2719</v>
      </c>
      <c r="O212" s="83" t="s">
        <v>106</v>
      </c>
      <c r="P212" s="83">
        <v>4</v>
      </c>
      <c r="Q212" s="83" t="s">
        <v>106</v>
      </c>
      <c r="R212" s="83" t="s">
        <v>2691</v>
      </c>
      <c r="S212" s="83" t="s">
        <v>2790</v>
      </c>
      <c r="T212" s="83" t="s">
        <v>2703</v>
      </c>
      <c r="U212" s="83" t="s">
        <v>401</v>
      </c>
      <c r="AC212" s="83" t="s">
        <v>401</v>
      </c>
      <c r="AD212" s="83">
        <v>70000</v>
      </c>
      <c r="AF212" s="83">
        <v>0</v>
      </c>
      <c r="AJ212" s="83">
        <v>1</v>
      </c>
      <c r="AK212" s="83">
        <v>1</v>
      </c>
      <c r="AL212" s="83">
        <v>768</v>
      </c>
      <c r="AM212" s="83" t="s">
        <v>2693</v>
      </c>
      <c r="BK212" s="83" t="s">
        <v>2694</v>
      </c>
      <c r="BL212" s="83" t="s">
        <v>2704</v>
      </c>
      <c r="BM212" s="83" t="s">
        <v>2698</v>
      </c>
      <c r="BN212" s="83" t="s">
        <v>2699</v>
      </c>
      <c r="BO212" s="83" t="s">
        <v>2697</v>
      </c>
      <c r="BP212" s="83" t="s">
        <v>2695</v>
      </c>
      <c r="BQ212" s="83" t="s">
        <v>2696</v>
      </c>
      <c r="BR212" s="83" t="s">
        <v>2693</v>
      </c>
      <c r="BS212" s="83" t="s">
        <v>2699</v>
      </c>
      <c r="BT212" s="83">
        <v>0</v>
      </c>
      <c r="BU212" s="83" t="s">
        <v>2699</v>
      </c>
      <c r="BV212" s="83" t="s">
        <v>2699</v>
      </c>
      <c r="BW212" s="83" t="s">
        <v>2699</v>
      </c>
      <c r="BX212" s="83" t="s">
        <v>2696</v>
      </c>
      <c r="BY212" s="83" t="s">
        <v>2699</v>
      </c>
      <c r="BZ212" s="83" t="s">
        <v>2696</v>
      </c>
      <c r="CA212" s="83" t="s">
        <v>2693</v>
      </c>
      <c r="CB212" s="83">
        <v>9</v>
      </c>
      <c r="CC212" s="83" t="s">
        <v>2699</v>
      </c>
      <c r="CD212" s="83" t="s">
        <v>2696</v>
      </c>
      <c r="CF212" s="83" t="s">
        <v>2025</v>
      </c>
      <c r="CG212" s="83" t="s">
        <v>2026</v>
      </c>
      <c r="CH212" s="83" t="s">
        <v>2693</v>
      </c>
      <c r="CI212" s="83" t="s">
        <v>3992</v>
      </c>
      <c r="CJ212" s="83" t="s">
        <v>2701</v>
      </c>
      <c r="CK212" s="144">
        <v>0</v>
      </c>
      <c r="CL212" s="99">
        <v>322000</v>
      </c>
    </row>
    <row r="213" spans="1:90">
      <c r="A213" s="83" t="s">
        <v>1513</v>
      </c>
      <c r="B213" s="83" t="s">
        <v>1638</v>
      </c>
      <c r="D213" s="83" t="s">
        <v>673</v>
      </c>
      <c r="E213" s="83" t="s">
        <v>2791</v>
      </c>
      <c r="F213" s="83" t="s">
        <v>1741</v>
      </c>
      <c r="G213" s="83" t="s">
        <v>1859</v>
      </c>
      <c r="H213" s="83" t="s">
        <v>1201</v>
      </c>
      <c r="I213" s="83" t="s">
        <v>1202</v>
      </c>
      <c r="J213" s="83" t="s">
        <v>1203</v>
      </c>
      <c r="K213" s="83" t="s">
        <v>565</v>
      </c>
      <c r="L213" s="83" t="s">
        <v>398</v>
      </c>
      <c r="M213" s="83" t="s">
        <v>399</v>
      </c>
      <c r="N213" s="83" t="s">
        <v>2719</v>
      </c>
      <c r="O213" s="83" t="s">
        <v>106</v>
      </c>
      <c r="P213" s="83">
        <v>4</v>
      </c>
      <c r="Q213" s="83" t="s">
        <v>106</v>
      </c>
      <c r="R213" s="83" t="s">
        <v>2691</v>
      </c>
      <c r="S213" s="83" t="s">
        <v>1451</v>
      </c>
      <c r="T213" s="83" t="s">
        <v>2703</v>
      </c>
      <c r="U213" s="83" t="s">
        <v>401</v>
      </c>
      <c r="AC213" s="83" t="s">
        <v>401</v>
      </c>
      <c r="AD213" s="83">
        <v>66000</v>
      </c>
      <c r="AF213" s="83">
        <v>0</v>
      </c>
      <c r="AJ213" s="83">
        <v>1</v>
      </c>
      <c r="AK213" s="83">
        <v>2</v>
      </c>
      <c r="AL213" s="83">
        <v>920</v>
      </c>
      <c r="AM213" s="83" t="s">
        <v>2693</v>
      </c>
      <c r="BK213" s="83" t="s">
        <v>2694</v>
      </c>
      <c r="BL213" s="83" t="s">
        <v>2704</v>
      </c>
      <c r="BM213" s="83" t="s">
        <v>2698</v>
      </c>
      <c r="BN213" s="83" t="s">
        <v>2699</v>
      </c>
      <c r="BO213" s="83" t="s">
        <v>2697</v>
      </c>
      <c r="BP213" s="83" t="s">
        <v>2695</v>
      </c>
      <c r="BQ213" s="83" t="s">
        <v>2696</v>
      </c>
      <c r="BR213" s="83" t="s">
        <v>2693</v>
      </c>
      <c r="BS213" s="83" t="s">
        <v>2699</v>
      </c>
      <c r="BT213" s="83">
        <v>0</v>
      </c>
      <c r="BU213" s="83" t="s">
        <v>2699</v>
      </c>
      <c r="BV213" s="83" t="s">
        <v>2699</v>
      </c>
      <c r="BW213" s="83" t="s">
        <v>2699</v>
      </c>
      <c r="BX213" s="83" t="s">
        <v>2696</v>
      </c>
      <c r="BY213" s="83" t="s">
        <v>2699</v>
      </c>
      <c r="BZ213" s="83" t="s">
        <v>2696</v>
      </c>
      <c r="CA213" s="83" t="s">
        <v>2693</v>
      </c>
      <c r="CB213" s="83">
        <v>9</v>
      </c>
      <c r="CC213" s="83" t="s">
        <v>2699</v>
      </c>
      <c r="CD213" s="83" t="s">
        <v>2696</v>
      </c>
      <c r="CF213" s="83" t="s">
        <v>2027</v>
      </c>
      <c r="CG213" s="83" t="s">
        <v>2028</v>
      </c>
      <c r="CH213" s="83" t="s">
        <v>2693</v>
      </c>
      <c r="CI213" s="83" t="s">
        <v>3992</v>
      </c>
      <c r="CJ213" s="83" t="s">
        <v>2701</v>
      </c>
      <c r="CK213" s="144">
        <v>0</v>
      </c>
      <c r="CL213"/>
    </row>
    <row r="214" spans="1:90">
      <c r="A214" s="83" t="s">
        <v>1557</v>
      </c>
      <c r="B214" s="83" t="s">
        <v>1639</v>
      </c>
      <c r="D214" s="83" t="s">
        <v>688</v>
      </c>
      <c r="E214" s="83" t="s">
        <v>1012</v>
      </c>
      <c r="F214" s="83" t="s">
        <v>1731</v>
      </c>
      <c r="G214" s="83" t="s">
        <v>1852</v>
      </c>
      <c r="H214" s="83" t="s">
        <v>1201</v>
      </c>
      <c r="I214" s="83" t="s">
        <v>1202</v>
      </c>
      <c r="J214" s="83" t="s">
        <v>1203</v>
      </c>
      <c r="K214" s="83" t="s">
        <v>565</v>
      </c>
      <c r="L214" s="83" t="s">
        <v>398</v>
      </c>
      <c r="M214" s="83" t="s">
        <v>399</v>
      </c>
      <c r="N214" s="83" t="s">
        <v>2792</v>
      </c>
      <c r="O214" s="83" t="s">
        <v>106</v>
      </c>
      <c r="P214" s="83">
        <v>4</v>
      </c>
      <c r="Q214" s="83" t="s">
        <v>106</v>
      </c>
      <c r="R214" s="83" t="s">
        <v>2691</v>
      </c>
      <c r="S214" s="83" t="s">
        <v>2712</v>
      </c>
      <c r="T214" s="83" t="s">
        <v>2703</v>
      </c>
      <c r="U214" s="83" t="s">
        <v>401</v>
      </c>
      <c r="AC214" s="83" t="s">
        <v>401</v>
      </c>
      <c r="AD214" s="83">
        <v>376000</v>
      </c>
      <c r="AF214" s="83">
        <v>44000</v>
      </c>
      <c r="AJ214" s="83">
        <v>1</v>
      </c>
      <c r="AK214" s="83">
        <v>1</v>
      </c>
      <c r="AL214" s="83">
        <v>4428</v>
      </c>
      <c r="AM214" s="83" t="s">
        <v>2693</v>
      </c>
      <c r="BK214" s="83" t="s">
        <v>2694</v>
      </c>
      <c r="BL214" s="83" t="s">
        <v>2704</v>
      </c>
      <c r="BM214" s="83" t="s">
        <v>2697</v>
      </c>
      <c r="BN214" s="83" t="s">
        <v>2699</v>
      </c>
      <c r="BO214" s="83" t="s">
        <v>2697</v>
      </c>
      <c r="BP214" s="83" t="s">
        <v>2697</v>
      </c>
      <c r="BQ214" s="83" t="s">
        <v>2699</v>
      </c>
      <c r="BR214" s="83" t="s">
        <v>2693</v>
      </c>
      <c r="BS214" s="83" t="s">
        <v>2699</v>
      </c>
      <c r="BT214" s="83">
        <v>0</v>
      </c>
      <c r="BU214" s="83" t="s">
        <v>2699</v>
      </c>
      <c r="BV214" s="83" t="s">
        <v>2696</v>
      </c>
      <c r="BW214" s="83" t="s">
        <v>2698</v>
      </c>
      <c r="BX214" s="83" t="s">
        <v>2696</v>
      </c>
      <c r="BY214" s="83" t="s">
        <v>2699</v>
      </c>
      <c r="BZ214" s="83" t="s">
        <v>2693</v>
      </c>
      <c r="CA214" s="83" t="s">
        <v>2693</v>
      </c>
      <c r="CB214" s="83">
        <v>9</v>
      </c>
      <c r="CC214" s="83" t="s">
        <v>2699</v>
      </c>
      <c r="CD214" s="83" t="s">
        <v>2696</v>
      </c>
      <c r="CF214" s="83" t="s">
        <v>2075</v>
      </c>
      <c r="CG214" s="83" t="s">
        <v>1053</v>
      </c>
      <c r="CH214" s="83" t="s">
        <v>2693</v>
      </c>
      <c r="CI214" s="83" t="s">
        <v>2076</v>
      </c>
      <c r="CJ214" s="83" t="s">
        <v>2701</v>
      </c>
      <c r="CK214" s="144">
        <v>0</v>
      </c>
      <c r="CL214" s="99">
        <v>406000</v>
      </c>
    </row>
    <row r="215" spans="1:90">
      <c r="A215" s="83" t="s">
        <v>1557</v>
      </c>
      <c r="B215" s="83" t="s">
        <v>1639</v>
      </c>
      <c r="D215" s="83" t="s">
        <v>673</v>
      </c>
      <c r="E215" s="83" t="s">
        <v>894</v>
      </c>
      <c r="F215" s="83" t="s">
        <v>1731</v>
      </c>
      <c r="G215" s="83" t="s">
        <v>1852</v>
      </c>
      <c r="H215" s="83" t="s">
        <v>1201</v>
      </c>
      <c r="I215" s="83" t="s">
        <v>1202</v>
      </c>
      <c r="J215" s="83" t="s">
        <v>1203</v>
      </c>
      <c r="K215" s="83" t="s">
        <v>565</v>
      </c>
      <c r="L215" s="83" t="s">
        <v>398</v>
      </c>
      <c r="M215" s="83" t="s">
        <v>399</v>
      </c>
      <c r="N215" s="83" t="s">
        <v>2792</v>
      </c>
      <c r="O215" s="83" t="s">
        <v>106</v>
      </c>
      <c r="P215" s="83">
        <v>4</v>
      </c>
      <c r="Q215" s="83" t="s">
        <v>106</v>
      </c>
      <c r="R215" s="83" t="s">
        <v>2691</v>
      </c>
      <c r="S215" s="83" t="s">
        <v>2712</v>
      </c>
      <c r="T215" s="83" t="s">
        <v>2703</v>
      </c>
      <c r="U215" s="83" t="s">
        <v>401</v>
      </c>
      <c r="AC215" s="83" t="s">
        <v>401</v>
      </c>
      <c r="AD215" s="83">
        <v>125000</v>
      </c>
      <c r="AF215" s="83">
        <v>3000</v>
      </c>
      <c r="AJ215" s="83">
        <v>1</v>
      </c>
      <c r="AK215" s="83">
        <v>1</v>
      </c>
      <c r="AL215" s="83">
        <v>1008</v>
      </c>
      <c r="AM215" s="83" t="s">
        <v>2693</v>
      </c>
      <c r="BK215" s="83" t="s">
        <v>2694</v>
      </c>
      <c r="BL215" s="83" t="s">
        <v>2695</v>
      </c>
      <c r="BM215" s="83" t="s">
        <v>2693</v>
      </c>
      <c r="BN215" s="83" t="s">
        <v>2696</v>
      </c>
      <c r="BO215" s="83" t="s">
        <v>2697</v>
      </c>
      <c r="BP215" s="83" t="s">
        <v>2699</v>
      </c>
      <c r="BQ215" s="83" t="s">
        <v>2693</v>
      </c>
      <c r="BR215" s="83" t="s">
        <v>2693</v>
      </c>
      <c r="BS215" s="83" t="s">
        <v>2699</v>
      </c>
      <c r="BT215" s="83">
        <v>0</v>
      </c>
      <c r="BU215" s="83" t="s">
        <v>2699</v>
      </c>
      <c r="BV215" s="83" t="s">
        <v>2696</v>
      </c>
      <c r="BW215" s="83" t="s">
        <v>2699</v>
      </c>
      <c r="BX215" s="83" t="s">
        <v>2696</v>
      </c>
      <c r="BY215" s="83" t="s">
        <v>2699</v>
      </c>
      <c r="BZ215" s="83" t="s">
        <v>2693</v>
      </c>
      <c r="CA215" s="83" t="s">
        <v>2693</v>
      </c>
      <c r="CB215" s="83">
        <v>9</v>
      </c>
      <c r="CC215" s="83" t="s">
        <v>2699</v>
      </c>
      <c r="CD215" s="83" t="s">
        <v>2696</v>
      </c>
      <c r="CF215" s="83" t="s">
        <v>2077</v>
      </c>
      <c r="CG215" s="83" t="s">
        <v>2078</v>
      </c>
      <c r="CH215" s="83" t="s">
        <v>2693</v>
      </c>
      <c r="CI215" s="83" t="s">
        <v>2693</v>
      </c>
      <c r="CJ215" s="83" t="s">
        <v>2701</v>
      </c>
      <c r="CK215" s="144">
        <v>0</v>
      </c>
      <c r="CL215"/>
    </row>
    <row r="216" spans="1:90">
      <c r="A216" s="83" t="s">
        <v>1120</v>
      </c>
      <c r="B216" s="83" t="s">
        <v>2386</v>
      </c>
      <c r="D216" s="83" t="s">
        <v>688</v>
      </c>
      <c r="E216" s="83" t="s">
        <v>2387</v>
      </c>
      <c r="F216" s="83" t="s">
        <v>1477</v>
      </c>
      <c r="G216" s="83" t="s">
        <v>1161</v>
      </c>
      <c r="H216" s="83" t="s">
        <v>1201</v>
      </c>
      <c r="I216" s="83" t="s">
        <v>1202</v>
      </c>
      <c r="J216" s="83" t="s">
        <v>1203</v>
      </c>
      <c r="K216" s="83" t="s">
        <v>565</v>
      </c>
      <c r="L216" s="83" t="s">
        <v>398</v>
      </c>
      <c r="M216" s="83" t="s">
        <v>399</v>
      </c>
      <c r="N216" s="83" t="s">
        <v>3057</v>
      </c>
      <c r="O216" s="83" t="s">
        <v>106</v>
      </c>
      <c r="P216" s="83">
        <v>4</v>
      </c>
      <c r="Q216" s="83" t="s">
        <v>106</v>
      </c>
      <c r="R216" s="83" t="s">
        <v>3121</v>
      </c>
      <c r="S216" s="83" t="s">
        <v>2714</v>
      </c>
      <c r="T216" s="83" t="s">
        <v>2703</v>
      </c>
      <c r="U216" s="83" t="s">
        <v>401</v>
      </c>
      <c r="AC216" s="83" t="s">
        <v>401</v>
      </c>
      <c r="AD216" s="83">
        <v>138000</v>
      </c>
      <c r="AF216" s="83">
        <v>11000</v>
      </c>
      <c r="AJ216" s="83">
        <v>1</v>
      </c>
      <c r="AK216" s="83">
        <v>1</v>
      </c>
      <c r="AL216" s="83">
        <v>1350</v>
      </c>
      <c r="AM216" s="83" t="s">
        <v>2693</v>
      </c>
      <c r="BK216" s="83" t="s">
        <v>2694</v>
      </c>
      <c r="BL216" s="83" t="s">
        <v>2704</v>
      </c>
      <c r="BM216" s="83" t="s">
        <v>2725</v>
      </c>
      <c r="BN216" s="83" t="s">
        <v>2698</v>
      </c>
      <c r="BO216" s="83" t="s">
        <v>2697</v>
      </c>
      <c r="BP216" s="83" t="s">
        <v>2695</v>
      </c>
      <c r="BQ216" s="83" t="s">
        <v>2699</v>
      </c>
      <c r="BR216" s="83" t="s">
        <v>2693</v>
      </c>
      <c r="BS216" s="83" t="s">
        <v>2699</v>
      </c>
      <c r="BT216" s="83" t="s">
        <v>2696</v>
      </c>
      <c r="BU216" s="83" t="s">
        <v>2699</v>
      </c>
      <c r="BV216" s="83" t="s">
        <v>2697</v>
      </c>
      <c r="BW216" s="83" t="s">
        <v>2698</v>
      </c>
      <c r="BX216" s="83" t="s">
        <v>2696</v>
      </c>
      <c r="BY216" s="83" t="s">
        <v>2699</v>
      </c>
      <c r="BZ216" s="83" t="s">
        <v>2699</v>
      </c>
      <c r="CA216" s="83" t="s">
        <v>2693</v>
      </c>
      <c r="CB216" s="83" t="s">
        <v>2694</v>
      </c>
      <c r="CC216" s="83" t="s">
        <v>2699</v>
      </c>
      <c r="CD216" s="83" t="s">
        <v>2696</v>
      </c>
      <c r="CF216" s="83" t="s">
        <v>926</v>
      </c>
      <c r="CG216" s="83" t="s">
        <v>927</v>
      </c>
      <c r="CH216" s="83" t="s">
        <v>2693</v>
      </c>
      <c r="CI216" s="83" t="s">
        <v>3992</v>
      </c>
      <c r="CJ216" s="83" t="s">
        <v>2701</v>
      </c>
      <c r="CK216" s="144">
        <v>10</v>
      </c>
      <c r="CL216" s="99">
        <v>384000</v>
      </c>
    </row>
    <row r="217" spans="1:90">
      <c r="A217" s="83" t="s">
        <v>2533</v>
      </c>
      <c r="B217" s="83" t="s">
        <v>2534</v>
      </c>
      <c r="D217" s="83" t="s">
        <v>688</v>
      </c>
      <c r="E217" s="83" t="s">
        <v>2534</v>
      </c>
      <c r="F217" s="83" t="s">
        <v>1804</v>
      </c>
      <c r="G217" s="83" t="s">
        <v>2274</v>
      </c>
      <c r="H217" s="83" t="s">
        <v>1201</v>
      </c>
      <c r="I217" s="83" t="s">
        <v>1202</v>
      </c>
      <c r="J217" s="83" t="s">
        <v>1203</v>
      </c>
      <c r="K217" s="83" t="s">
        <v>565</v>
      </c>
      <c r="L217" s="83" t="s">
        <v>398</v>
      </c>
      <c r="M217" s="83" t="s">
        <v>399</v>
      </c>
      <c r="N217" s="83" t="s">
        <v>2899</v>
      </c>
      <c r="O217" s="83" t="s">
        <v>106</v>
      </c>
      <c r="P217" s="83">
        <v>4</v>
      </c>
      <c r="Q217" s="83" t="s">
        <v>106</v>
      </c>
      <c r="R217" s="83" t="s">
        <v>2727</v>
      </c>
      <c r="S217" s="83" t="s">
        <v>1449</v>
      </c>
      <c r="T217" s="83" t="s">
        <v>2843</v>
      </c>
      <c r="U217" s="83" t="s">
        <v>401</v>
      </c>
      <c r="AC217" s="83" t="s">
        <v>401</v>
      </c>
      <c r="AD217" s="83">
        <v>815000</v>
      </c>
      <c r="AF217" s="83">
        <v>73000</v>
      </c>
      <c r="AJ217" s="83">
        <v>1</v>
      </c>
      <c r="AK217" s="83">
        <v>1</v>
      </c>
      <c r="AL217" s="83">
        <v>7393</v>
      </c>
      <c r="AM217" s="83" t="s">
        <v>2693</v>
      </c>
      <c r="BK217" s="83" t="s">
        <v>2694</v>
      </c>
      <c r="BL217" s="83" t="s">
        <v>2704</v>
      </c>
      <c r="BM217" s="83" t="s">
        <v>2697</v>
      </c>
      <c r="BN217" s="83" t="s">
        <v>2698</v>
      </c>
      <c r="BO217" s="83" t="s">
        <v>2697</v>
      </c>
      <c r="BP217" s="83" t="s">
        <v>2698</v>
      </c>
      <c r="BQ217" s="83" t="s">
        <v>2699</v>
      </c>
      <c r="BR217" s="83" t="s">
        <v>2693</v>
      </c>
      <c r="BS217" s="83" t="s">
        <v>2699</v>
      </c>
      <c r="BT217" s="83" t="s">
        <v>2696</v>
      </c>
      <c r="BU217" s="83" t="s">
        <v>2699</v>
      </c>
      <c r="BV217" s="83" t="s">
        <v>2696</v>
      </c>
      <c r="BW217" s="83" t="s">
        <v>2698</v>
      </c>
      <c r="BX217" s="83" t="s">
        <v>2696</v>
      </c>
      <c r="BY217" s="83" t="s">
        <v>2699</v>
      </c>
      <c r="BZ217" s="83" t="s">
        <v>2693</v>
      </c>
      <c r="CA217" s="83" t="s">
        <v>2693</v>
      </c>
      <c r="CB217" s="83" t="s">
        <v>2694</v>
      </c>
      <c r="CC217" s="83" t="s">
        <v>2699</v>
      </c>
      <c r="CD217" s="83" t="s">
        <v>2696</v>
      </c>
      <c r="CF217" s="83" t="s">
        <v>2985</v>
      </c>
      <c r="CG217" s="83" t="s">
        <v>2986</v>
      </c>
      <c r="CH217" s="83" t="s">
        <v>2693</v>
      </c>
      <c r="CI217" s="83" t="s">
        <v>3992</v>
      </c>
      <c r="CJ217" s="83" t="s">
        <v>2701</v>
      </c>
      <c r="CK217" s="144">
        <v>0</v>
      </c>
      <c r="CL217" s="99">
        <v>448000</v>
      </c>
    </row>
    <row r="218" spans="1:90">
      <c r="A218" s="83" t="s">
        <v>2533</v>
      </c>
      <c r="B218" s="83" t="s">
        <v>2534</v>
      </c>
      <c r="D218" s="83" t="s">
        <v>673</v>
      </c>
      <c r="E218" s="83" t="s">
        <v>2423</v>
      </c>
      <c r="F218" s="83" t="s">
        <v>1804</v>
      </c>
      <c r="G218" s="83" t="s">
        <v>2274</v>
      </c>
      <c r="H218" s="83" t="s">
        <v>1201</v>
      </c>
      <c r="I218" s="83" t="s">
        <v>1202</v>
      </c>
      <c r="J218" s="83" t="s">
        <v>1203</v>
      </c>
      <c r="K218" s="83" t="s">
        <v>565</v>
      </c>
      <c r="L218" s="83" t="s">
        <v>398</v>
      </c>
      <c r="M218" s="83" t="s">
        <v>399</v>
      </c>
      <c r="N218" s="83" t="s">
        <v>2899</v>
      </c>
      <c r="O218" s="83" t="s">
        <v>106</v>
      </c>
      <c r="P218" s="83">
        <v>4</v>
      </c>
      <c r="Q218" s="83" t="s">
        <v>106</v>
      </c>
      <c r="R218" s="83" t="s">
        <v>2727</v>
      </c>
      <c r="S218" s="83" t="s">
        <v>1449</v>
      </c>
      <c r="T218" s="83" t="s">
        <v>2843</v>
      </c>
      <c r="U218" s="83" t="s">
        <v>401</v>
      </c>
      <c r="AC218" s="83" t="s">
        <v>401</v>
      </c>
      <c r="AD218" s="83">
        <v>5000</v>
      </c>
      <c r="AF218" s="83">
        <v>0</v>
      </c>
      <c r="AJ218" s="83">
        <v>1</v>
      </c>
      <c r="AK218" s="83">
        <v>1</v>
      </c>
      <c r="AL218" s="83">
        <v>100</v>
      </c>
      <c r="AM218" s="83" t="s">
        <v>2693</v>
      </c>
      <c r="BK218" s="83" t="s">
        <v>2694</v>
      </c>
      <c r="BL218" s="83" t="s">
        <v>2704</v>
      </c>
      <c r="BM218" s="83" t="s">
        <v>2697</v>
      </c>
      <c r="BN218" s="83" t="s">
        <v>2698</v>
      </c>
      <c r="BO218" s="83" t="s">
        <v>2697</v>
      </c>
      <c r="BP218" s="83" t="s">
        <v>2698</v>
      </c>
      <c r="BQ218" s="83" t="s">
        <v>2699</v>
      </c>
      <c r="BR218" s="83" t="s">
        <v>2693</v>
      </c>
      <c r="BS218" s="83" t="s">
        <v>2699</v>
      </c>
      <c r="BT218" s="83" t="s">
        <v>2696</v>
      </c>
      <c r="BU218" s="83" t="s">
        <v>2699</v>
      </c>
      <c r="BV218" s="83" t="s">
        <v>2696</v>
      </c>
      <c r="BW218" s="83" t="s">
        <v>2698</v>
      </c>
      <c r="BX218" s="83" t="s">
        <v>2696</v>
      </c>
      <c r="BY218" s="83" t="s">
        <v>2699</v>
      </c>
      <c r="BZ218" s="83" t="s">
        <v>2693</v>
      </c>
      <c r="CA218" s="83" t="s">
        <v>2693</v>
      </c>
      <c r="CB218" s="83" t="s">
        <v>2694</v>
      </c>
      <c r="CC218" s="83" t="s">
        <v>2699</v>
      </c>
      <c r="CD218" s="83" t="s">
        <v>2696</v>
      </c>
      <c r="CF218" s="83" t="s">
        <v>2535</v>
      </c>
      <c r="CG218" s="83" t="s">
        <v>2536</v>
      </c>
      <c r="CH218" s="83" t="s">
        <v>2693</v>
      </c>
      <c r="CI218" s="83" t="s">
        <v>3992</v>
      </c>
      <c r="CJ218" s="83" t="s">
        <v>2701</v>
      </c>
      <c r="CL218"/>
    </row>
    <row r="219" spans="1:90">
      <c r="A219" s="83" t="s">
        <v>1493</v>
      </c>
      <c r="B219" s="83" t="s">
        <v>1640</v>
      </c>
      <c r="D219" s="83" t="s">
        <v>688</v>
      </c>
      <c r="E219" s="83" t="s">
        <v>1674</v>
      </c>
      <c r="F219" s="83" t="s">
        <v>1742</v>
      </c>
      <c r="G219" s="83" t="s">
        <v>1860</v>
      </c>
      <c r="H219" s="83" t="s">
        <v>1201</v>
      </c>
      <c r="I219" s="83" t="s">
        <v>1202</v>
      </c>
      <c r="J219" s="83" t="s">
        <v>1203</v>
      </c>
      <c r="K219" s="83" t="s">
        <v>565</v>
      </c>
      <c r="L219" s="83" t="s">
        <v>398</v>
      </c>
      <c r="M219" s="83" t="s">
        <v>399</v>
      </c>
      <c r="N219" s="83" t="s">
        <v>2719</v>
      </c>
      <c r="O219" s="83" t="s">
        <v>106</v>
      </c>
      <c r="P219" s="83">
        <v>4</v>
      </c>
      <c r="Q219" s="83" t="s">
        <v>106</v>
      </c>
      <c r="R219" s="83" t="s">
        <v>2691</v>
      </c>
      <c r="S219" s="83" t="s">
        <v>2712</v>
      </c>
      <c r="T219" s="83" t="s">
        <v>2793</v>
      </c>
      <c r="U219" s="83" t="s">
        <v>401</v>
      </c>
      <c r="AC219" s="83" t="s">
        <v>401</v>
      </c>
      <c r="AD219" s="83">
        <v>45000</v>
      </c>
      <c r="AF219" s="83">
        <v>0</v>
      </c>
      <c r="AJ219" s="83">
        <v>1</v>
      </c>
      <c r="AK219" s="83">
        <v>1</v>
      </c>
      <c r="AL219" s="83">
        <v>604</v>
      </c>
      <c r="AM219" s="83" t="s">
        <v>2693</v>
      </c>
      <c r="BK219" s="83" t="s">
        <v>2694</v>
      </c>
      <c r="BL219" s="83" t="s">
        <v>2704</v>
      </c>
      <c r="BM219" s="83" t="s">
        <v>2697</v>
      </c>
      <c r="BN219" s="83" t="s">
        <v>2699</v>
      </c>
      <c r="BO219" s="83" t="s">
        <v>2697</v>
      </c>
      <c r="BP219" s="83" t="s">
        <v>2698</v>
      </c>
      <c r="BQ219" s="83" t="s">
        <v>2693</v>
      </c>
      <c r="BR219" s="83" t="s">
        <v>2693</v>
      </c>
      <c r="BS219" s="83" t="s">
        <v>2699</v>
      </c>
      <c r="BT219" s="83">
        <v>0</v>
      </c>
      <c r="BU219" s="83" t="s">
        <v>2699</v>
      </c>
      <c r="BV219" s="83" t="s">
        <v>2696</v>
      </c>
      <c r="BW219" s="83" t="s">
        <v>2699</v>
      </c>
      <c r="BX219" s="83" t="s">
        <v>2696</v>
      </c>
      <c r="BY219" s="83" t="s">
        <v>2699</v>
      </c>
      <c r="BZ219" s="83" t="s">
        <v>2699</v>
      </c>
      <c r="CA219" s="83" t="s">
        <v>2699</v>
      </c>
      <c r="CB219" s="83" t="s">
        <v>2696</v>
      </c>
      <c r="CC219" s="83" t="s">
        <v>2699</v>
      </c>
      <c r="CD219" s="83" t="s">
        <v>2696</v>
      </c>
      <c r="CF219" s="83" t="s">
        <v>2153</v>
      </c>
      <c r="CG219" s="83" t="s">
        <v>2154</v>
      </c>
      <c r="CH219" s="83" t="s">
        <v>2693</v>
      </c>
      <c r="CI219" s="83" t="s">
        <v>2693</v>
      </c>
      <c r="CJ219" s="83" t="s">
        <v>2701</v>
      </c>
      <c r="CK219" s="144">
        <v>2</v>
      </c>
      <c r="CL219" s="99">
        <v>381000</v>
      </c>
    </row>
    <row r="220" spans="1:90">
      <c r="A220" s="83" t="s">
        <v>1493</v>
      </c>
      <c r="B220" s="83" t="s">
        <v>1640</v>
      </c>
      <c r="D220" s="83" t="s">
        <v>673</v>
      </c>
      <c r="E220" s="83" t="s">
        <v>894</v>
      </c>
      <c r="F220" s="83" t="s">
        <v>1742</v>
      </c>
      <c r="G220" s="83" t="s">
        <v>1860</v>
      </c>
      <c r="H220" s="83" t="s">
        <v>1201</v>
      </c>
      <c r="I220" s="83" t="s">
        <v>1202</v>
      </c>
      <c r="J220" s="83" t="s">
        <v>1203</v>
      </c>
      <c r="K220" s="83" t="s">
        <v>565</v>
      </c>
      <c r="L220" s="83" t="s">
        <v>398</v>
      </c>
      <c r="M220" s="83" t="s">
        <v>399</v>
      </c>
      <c r="N220" s="83" t="s">
        <v>2719</v>
      </c>
      <c r="O220" s="83" t="s">
        <v>106</v>
      </c>
      <c r="P220" s="83">
        <v>4</v>
      </c>
      <c r="Q220" s="83" t="s">
        <v>106</v>
      </c>
      <c r="R220" s="83" t="s">
        <v>2691</v>
      </c>
      <c r="S220" s="83" t="s">
        <v>2720</v>
      </c>
      <c r="T220" s="83" t="s">
        <v>2794</v>
      </c>
      <c r="U220" s="83" t="s">
        <v>401</v>
      </c>
      <c r="AC220" s="83" t="s">
        <v>401</v>
      </c>
      <c r="AD220" s="83">
        <v>57000</v>
      </c>
      <c r="AF220" s="83">
        <v>1000</v>
      </c>
      <c r="AJ220" s="83">
        <v>1</v>
      </c>
      <c r="AK220" s="83">
        <v>1</v>
      </c>
      <c r="AL220" s="83">
        <v>450</v>
      </c>
      <c r="AM220" s="83" t="s">
        <v>2693</v>
      </c>
      <c r="BK220" s="83" t="s">
        <v>2694</v>
      </c>
      <c r="BL220" s="83" t="s">
        <v>2695</v>
      </c>
      <c r="BM220" s="83" t="s">
        <v>2693</v>
      </c>
      <c r="BN220" s="83" t="s">
        <v>2698</v>
      </c>
      <c r="BO220" s="83" t="s">
        <v>2697</v>
      </c>
      <c r="BP220" s="83" t="s">
        <v>2698</v>
      </c>
      <c r="BQ220" s="83" t="s">
        <v>2693</v>
      </c>
      <c r="BR220" s="83" t="s">
        <v>2693</v>
      </c>
      <c r="BS220" s="83" t="s">
        <v>2699</v>
      </c>
      <c r="BT220" s="83">
        <v>0</v>
      </c>
      <c r="BU220" s="83" t="s">
        <v>2699</v>
      </c>
      <c r="BV220" s="83" t="s">
        <v>2696</v>
      </c>
      <c r="BW220" s="83" t="s">
        <v>2699</v>
      </c>
      <c r="BX220" s="83" t="s">
        <v>2696</v>
      </c>
      <c r="BY220" s="83" t="s">
        <v>2699</v>
      </c>
      <c r="BZ220" s="83" t="s">
        <v>2699</v>
      </c>
      <c r="CA220" s="83" t="s">
        <v>2699</v>
      </c>
      <c r="CB220" s="83" t="s">
        <v>2696</v>
      </c>
      <c r="CC220" s="83" t="s">
        <v>2699</v>
      </c>
      <c r="CD220" s="83" t="s">
        <v>2696</v>
      </c>
      <c r="CF220" s="83" t="s">
        <v>2155</v>
      </c>
      <c r="CG220" s="83" t="s">
        <v>2795</v>
      </c>
      <c r="CH220" s="83" t="s">
        <v>2693</v>
      </c>
      <c r="CI220" s="83" t="s">
        <v>2693</v>
      </c>
      <c r="CJ220" s="83" t="s">
        <v>2701</v>
      </c>
      <c r="CK220" s="144">
        <v>0</v>
      </c>
      <c r="CL220"/>
    </row>
    <row r="221" spans="1:90">
      <c r="A221" s="83" t="s">
        <v>1558</v>
      </c>
      <c r="B221" s="83" t="s">
        <v>1641</v>
      </c>
      <c r="D221" s="83" t="s">
        <v>688</v>
      </c>
      <c r="E221" s="83" t="s">
        <v>2796</v>
      </c>
      <c r="F221" s="83" t="s">
        <v>1743</v>
      </c>
      <c r="G221" s="83" t="s">
        <v>1861</v>
      </c>
      <c r="H221" s="83" t="s">
        <v>1201</v>
      </c>
      <c r="I221" s="83" t="s">
        <v>1202</v>
      </c>
      <c r="J221" s="83" t="s">
        <v>1203</v>
      </c>
      <c r="K221" s="83" t="s">
        <v>565</v>
      </c>
      <c r="L221" s="83" t="s">
        <v>398</v>
      </c>
      <c r="M221" s="83" t="s">
        <v>399</v>
      </c>
      <c r="N221" s="83" t="s">
        <v>2778</v>
      </c>
      <c r="O221" s="83" t="s">
        <v>106</v>
      </c>
      <c r="P221" s="83">
        <v>4</v>
      </c>
      <c r="Q221" s="83" t="s">
        <v>106</v>
      </c>
      <c r="R221" s="83" t="s">
        <v>2691</v>
      </c>
      <c r="S221" s="83" t="s">
        <v>2759</v>
      </c>
      <c r="T221" s="83" t="s">
        <v>2703</v>
      </c>
      <c r="U221" s="83" t="s">
        <v>401</v>
      </c>
      <c r="AC221" s="83" t="s">
        <v>401</v>
      </c>
      <c r="AD221" s="83">
        <v>97000</v>
      </c>
      <c r="AF221" s="83">
        <v>2000</v>
      </c>
      <c r="AJ221" s="83">
        <v>1</v>
      </c>
      <c r="AK221" s="83">
        <v>1</v>
      </c>
      <c r="AL221" s="83">
        <v>720</v>
      </c>
      <c r="AM221" s="83" t="s">
        <v>2693</v>
      </c>
      <c r="BK221" s="83" t="s">
        <v>2694</v>
      </c>
      <c r="BL221" s="83" t="s">
        <v>2704</v>
      </c>
      <c r="BM221" s="83" t="s">
        <v>2698</v>
      </c>
      <c r="BN221" s="83" t="s">
        <v>2699</v>
      </c>
      <c r="BO221" s="83" t="s">
        <v>2697</v>
      </c>
      <c r="BP221" s="83" t="s">
        <v>2698</v>
      </c>
      <c r="BQ221" s="83" t="s">
        <v>2693</v>
      </c>
      <c r="BR221" s="83" t="s">
        <v>2693</v>
      </c>
      <c r="BS221" s="83" t="s">
        <v>2699</v>
      </c>
      <c r="BT221" s="83">
        <v>0</v>
      </c>
      <c r="BU221" s="83" t="s">
        <v>2699</v>
      </c>
      <c r="BV221" s="83" t="s">
        <v>2696</v>
      </c>
      <c r="BW221" s="83" t="s">
        <v>2698</v>
      </c>
      <c r="BX221" s="83" t="s">
        <v>2696</v>
      </c>
      <c r="BY221" s="83" t="s">
        <v>2699</v>
      </c>
      <c r="BZ221" s="83" t="s">
        <v>2699</v>
      </c>
      <c r="CA221" s="83" t="s">
        <v>2693</v>
      </c>
      <c r="CB221" s="83">
        <v>9</v>
      </c>
      <c r="CC221" s="83" t="s">
        <v>2699</v>
      </c>
      <c r="CD221" s="83" t="s">
        <v>2696</v>
      </c>
      <c r="CF221" s="83" t="s">
        <v>2083</v>
      </c>
      <c r="CG221" s="83" t="s">
        <v>2084</v>
      </c>
      <c r="CH221" s="83" t="s">
        <v>2693</v>
      </c>
      <c r="CI221" s="83" t="s">
        <v>2693</v>
      </c>
      <c r="CJ221" s="83" t="s">
        <v>2701</v>
      </c>
      <c r="CK221" s="144">
        <v>2</v>
      </c>
      <c r="CL221" s="99">
        <v>279000</v>
      </c>
    </row>
    <row r="222" spans="1:90">
      <c r="A222" s="83" t="s">
        <v>1558</v>
      </c>
      <c r="B222" s="83" t="s">
        <v>1641</v>
      </c>
      <c r="D222" s="83" t="s">
        <v>673</v>
      </c>
      <c r="E222" s="83" t="s">
        <v>2788</v>
      </c>
      <c r="F222" s="83" t="s">
        <v>1743</v>
      </c>
      <c r="G222" s="83" t="s">
        <v>1861</v>
      </c>
      <c r="H222" s="83" t="s">
        <v>1201</v>
      </c>
      <c r="I222" s="83" t="s">
        <v>1202</v>
      </c>
      <c r="J222" s="83" t="s">
        <v>1203</v>
      </c>
      <c r="K222" s="83" t="s">
        <v>565</v>
      </c>
      <c r="L222" s="83" t="s">
        <v>398</v>
      </c>
      <c r="M222" s="83" t="s">
        <v>399</v>
      </c>
      <c r="N222" s="83" t="s">
        <v>2778</v>
      </c>
      <c r="O222" s="83" t="s">
        <v>106</v>
      </c>
      <c r="P222" s="83">
        <v>4</v>
      </c>
      <c r="Q222" s="83" t="s">
        <v>106</v>
      </c>
      <c r="R222" s="83" t="s">
        <v>2691</v>
      </c>
      <c r="S222" s="83" t="s">
        <v>2759</v>
      </c>
      <c r="T222" s="83" t="s">
        <v>2703</v>
      </c>
      <c r="U222" s="83" t="s">
        <v>401</v>
      </c>
      <c r="AC222" s="83" t="s">
        <v>401</v>
      </c>
      <c r="AD222" s="83">
        <v>96000</v>
      </c>
      <c r="AF222" s="83">
        <v>9000</v>
      </c>
      <c r="AJ222" s="83">
        <v>1</v>
      </c>
      <c r="AK222" s="83">
        <v>2</v>
      </c>
      <c r="AL222" s="83">
        <v>1080</v>
      </c>
      <c r="AM222" s="83" t="s">
        <v>2693</v>
      </c>
      <c r="BK222" s="83" t="s">
        <v>2694</v>
      </c>
      <c r="BL222" s="83" t="s">
        <v>2704</v>
      </c>
      <c r="BM222" s="83" t="s">
        <v>2698</v>
      </c>
      <c r="BN222" s="83" t="s">
        <v>2699</v>
      </c>
      <c r="BO222" s="83" t="s">
        <v>2697</v>
      </c>
      <c r="BP222" s="83" t="s">
        <v>2698</v>
      </c>
      <c r="BQ222" s="83" t="s">
        <v>2693</v>
      </c>
      <c r="BR222" s="83" t="s">
        <v>2693</v>
      </c>
      <c r="BS222" s="83" t="s">
        <v>2699</v>
      </c>
      <c r="BT222" s="83">
        <v>0</v>
      </c>
      <c r="BU222" s="83" t="s">
        <v>2699</v>
      </c>
      <c r="BV222" s="83" t="s">
        <v>2696</v>
      </c>
      <c r="BW222" s="83" t="s">
        <v>2698</v>
      </c>
      <c r="BX222" s="83" t="s">
        <v>2696</v>
      </c>
      <c r="BY222" s="83" t="s">
        <v>2699</v>
      </c>
      <c r="BZ222" s="83" t="s">
        <v>2699</v>
      </c>
      <c r="CA222" s="83" t="s">
        <v>2693</v>
      </c>
      <c r="CB222" s="83">
        <v>9</v>
      </c>
      <c r="CC222" s="83" t="s">
        <v>2699</v>
      </c>
      <c r="CD222" s="83" t="s">
        <v>2696</v>
      </c>
      <c r="CF222" s="83" t="s">
        <v>2085</v>
      </c>
      <c r="CG222" s="83" t="s">
        <v>2086</v>
      </c>
      <c r="CH222" s="83" t="s">
        <v>2693</v>
      </c>
      <c r="CI222" s="83" t="s">
        <v>2693</v>
      </c>
      <c r="CJ222" s="83" t="s">
        <v>2701</v>
      </c>
      <c r="CK222" s="144">
        <v>0</v>
      </c>
      <c r="CL222"/>
    </row>
    <row r="223" spans="1:90">
      <c r="A223" s="83" t="s">
        <v>1559</v>
      </c>
      <c r="B223" s="83" t="s">
        <v>1642</v>
      </c>
      <c r="D223" s="83" t="s">
        <v>688</v>
      </c>
      <c r="E223" s="83" t="s">
        <v>1012</v>
      </c>
      <c r="F223" s="83" t="s">
        <v>1744</v>
      </c>
      <c r="G223" s="83" t="s">
        <v>1862</v>
      </c>
      <c r="H223" s="83" t="s">
        <v>1201</v>
      </c>
      <c r="I223" s="83" t="s">
        <v>1202</v>
      </c>
      <c r="J223" s="83" t="s">
        <v>1203</v>
      </c>
      <c r="K223" s="83" t="s">
        <v>565</v>
      </c>
      <c r="L223" s="83" t="s">
        <v>398</v>
      </c>
      <c r="M223" s="83" t="s">
        <v>399</v>
      </c>
      <c r="N223" s="83" t="s">
        <v>2743</v>
      </c>
      <c r="O223" s="83" t="s">
        <v>106</v>
      </c>
      <c r="P223" s="83">
        <v>8</v>
      </c>
      <c r="Q223" s="83" t="s">
        <v>106</v>
      </c>
      <c r="R223" s="83" t="s">
        <v>2691</v>
      </c>
      <c r="S223" s="83" t="s">
        <v>1444</v>
      </c>
      <c r="T223" s="83" t="s">
        <v>2703</v>
      </c>
      <c r="U223" s="83" t="s">
        <v>401</v>
      </c>
      <c r="AC223" s="83" t="s">
        <v>401</v>
      </c>
      <c r="AD223" s="83">
        <v>481000</v>
      </c>
      <c r="AF223" s="83">
        <v>51000</v>
      </c>
      <c r="AJ223" s="83">
        <v>1</v>
      </c>
      <c r="AK223" s="83">
        <v>1</v>
      </c>
      <c r="AL223" s="83">
        <v>5120</v>
      </c>
      <c r="AM223" s="83" t="s">
        <v>2693</v>
      </c>
      <c r="BK223" s="83" t="s">
        <v>2694</v>
      </c>
      <c r="BL223" s="83" t="s">
        <v>2704</v>
      </c>
      <c r="BM223" s="83" t="s">
        <v>2697</v>
      </c>
      <c r="BN223" s="83" t="s">
        <v>2699</v>
      </c>
      <c r="BO223" s="83" t="s">
        <v>2697</v>
      </c>
      <c r="BP223" s="83" t="s">
        <v>2695</v>
      </c>
      <c r="BQ223" s="83" t="s">
        <v>2699</v>
      </c>
      <c r="BR223" s="83" t="s">
        <v>2693</v>
      </c>
      <c r="BS223" s="83" t="s">
        <v>2699</v>
      </c>
      <c r="BT223" s="83">
        <v>0</v>
      </c>
      <c r="BU223" s="83" t="s">
        <v>2699</v>
      </c>
      <c r="BV223" s="83" t="s">
        <v>2696</v>
      </c>
      <c r="BW223" s="83" t="s">
        <v>2698</v>
      </c>
      <c r="BX223" s="83" t="s">
        <v>2699</v>
      </c>
      <c r="BY223" s="83" t="s">
        <v>2699</v>
      </c>
      <c r="BZ223" s="83" t="s">
        <v>2693</v>
      </c>
      <c r="CA223" s="83" t="s">
        <v>2693</v>
      </c>
      <c r="CB223" s="83">
        <v>9</v>
      </c>
      <c r="CC223" s="83" t="s">
        <v>2699</v>
      </c>
      <c r="CD223" s="83" t="s">
        <v>2696</v>
      </c>
      <c r="CF223" s="83" t="s">
        <v>2098</v>
      </c>
      <c r="CG223" s="83" t="s">
        <v>2099</v>
      </c>
      <c r="CH223" s="83" t="s">
        <v>2695</v>
      </c>
      <c r="CI223" s="83" t="s">
        <v>648</v>
      </c>
      <c r="CJ223" s="83" t="s">
        <v>2731</v>
      </c>
      <c r="CK223" s="144">
        <v>0</v>
      </c>
      <c r="CL223" s="99">
        <v>56000</v>
      </c>
    </row>
    <row r="224" spans="1:90">
      <c r="A224" s="79" t="s">
        <v>3752</v>
      </c>
      <c r="B224" s="79" t="s">
        <v>3798</v>
      </c>
      <c r="C224" s="79"/>
      <c r="D224" s="79" t="s">
        <v>688</v>
      </c>
      <c r="E224" s="79" t="s">
        <v>894</v>
      </c>
      <c r="F224" s="79">
        <v>3856</v>
      </c>
      <c r="G224" s="79" t="s">
        <v>3856</v>
      </c>
      <c r="H224" s="79" t="s">
        <v>1201</v>
      </c>
      <c r="I224" s="79" t="s">
        <v>1202</v>
      </c>
      <c r="J224" s="79" t="s">
        <v>1203</v>
      </c>
      <c r="K224" s="79" t="s">
        <v>565</v>
      </c>
      <c r="L224" s="79" t="s">
        <v>398</v>
      </c>
      <c r="M224" s="79" t="s">
        <v>399</v>
      </c>
      <c r="N224" s="79" t="s">
        <v>3001</v>
      </c>
      <c r="O224" s="79" t="s">
        <v>106</v>
      </c>
      <c r="P224" s="79">
        <v>4</v>
      </c>
      <c r="Q224" s="79" t="s">
        <v>106</v>
      </c>
      <c r="R224" s="79" t="s">
        <v>2691</v>
      </c>
      <c r="S224" s="90">
        <v>29586</v>
      </c>
      <c r="T224" s="79" t="s">
        <v>2703</v>
      </c>
      <c r="U224" s="79" t="s">
        <v>401</v>
      </c>
      <c r="AC224" s="79" t="s">
        <v>401</v>
      </c>
      <c r="AD224" s="79">
        <v>30000</v>
      </c>
      <c r="AE224" s="79"/>
      <c r="AF224" s="79">
        <v>1000</v>
      </c>
      <c r="AG224" s="79"/>
      <c r="AH224" s="79"/>
      <c r="AI224" s="79"/>
      <c r="AJ224" s="79">
        <v>1</v>
      </c>
      <c r="AK224" s="83">
        <v>1</v>
      </c>
      <c r="AL224" s="79">
        <v>350</v>
      </c>
      <c r="AM224" s="79" t="s">
        <v>2693</v>
      </c>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79"/>
      <c r="BJ224" s="79"/>
      <c r="BK224" s="79">
        <v>9</v>
      </c>
      <c r="BL224" s="79">
        <v>7</v>
      </c>
      <c r="BM224" s="79">
        <v>5</v>
      </c>
      <c r="BN224" s="79">
        <v>5</v>
      </c>
      <c r="BO224" s="79">
        <v>2</v>
      </c>
      <c r="BP224" s="79">
        <v>5</v>
      </c>
      <c r="BQ224" s="79">
        <v>1</v>
      </c>
      <c r="BR224" s="79">
        <v>2</v>
      </c>
      <c r="BS224" s="79">
        <v>1</v>
      </c>
      <c r="BT224" s="79">
        <v>0</v>
      </c>
      <c r="BU224" s="79">
        <v>1</v>
      </c>
      <c r="BV224" s="79">
        <v>0</v>
      </c>
      <c r="BW224" s="79">
        <v>5</v>
      </c>
      <c r="BX224" s="83">
        <v>0</v>
      </c>
      <c r="BY224" s="79">
        <v>1</v>
      </c>
      <c r="BZ224" s="79">
        <v>0</v>
      </c>
      <c r="CA224" s="79">
        <v>1</v>
      </c>
      <c r="CB224" s="79">
        <v>9</v>
      </c>
      <c r="CC224" s="79">
        <v>2</v>
      </c>
      <c r="CD224" s="79">
        <v>0</v>
      </c>
      <c r="CE224" s="79"/>
      <c r="CF224" s="79" t="s">
        <v>3898</v>
      </c>
      <c r="CG224" s="79" t="s">
        <v>3899</v>
      </c>
      <c r="CH224" s="79" t="s">
        <v>2693</v>
      </c>
      <c r="CI224" s="83" t="s">
        <v>3992</v>
      </c>
      <c r="CJ224" s="83" t="s">
        <v>2701</v>
      </c>
      <c r="CK224" s="145"/>
      <c r="CL224" s="99">
        <v>445000</v>
      </c>
    </row>
    <row r="225" spans="1:90">
      <c r="A225" s="83" t="s">
        <v>2632</v>
      </c>
      <c r="B225" s="83" t="s">
        <v>2634</v>
      </c>
      <c r="D225" s="83" t="s">
        <v>688</v>
      </c>
      <c r="E225" s="83" t="s">
        <v>2548</v>
      </c>
      <c r="F225" s="83" t="s">
        <v>3294</v>
      </c>
      <c r="G225" s="83" t="s">
        <v>2328</v>
      </c>
      <c r="H225" s="83" t="s">
        <v>1201</v>
      </c>
      <c r="I225" s="83" t="s">
        <v>1202</v>
      </c>
      <c r="J225" s="83" t="s">
        <v>1203</v>
      </c>
      <c r="K225" s="83" t="s">
        <v>565</v>
      </c>
      <c r="L225" s="83" t="s">
        <v>398</v>
      </c>
      <c r="M225" s="83" t="s">
        <v>399</v>
      </c>
      <c r="N225" s="83" t="s">
        <v>3277</v>
      </c>
      <c r="O225" s="83" t="s">
        <v>106</v>
      </c>
      <c r="P225" s="83">
        <v>4</v>
      </c>
      <c r="Q225" s="83" t="s">
        <v>106</v>
      </c>
      <c r="R225" s="83" t="s">
        <v>2727</v>
      </c>
      <c r="S225" s="83" t="s">
        <v>2712</v>
      </c>
      <c r="T225" s="83" t="s">
        <v>2843</v>
      </c>
      <c r="U225" s="83" t="s">
        <v>401</v>
      </c>
      <c r="AC225" s="83" t="s">
        <v>401</v>
      </c>
      <c r="AD225" s="83">
        <v>93000</v>
      </c>
      <c r="AF225" s="83">
        <v>8000</v>
      </c>
      <c r="AJ225" s="83">
        <v>1</v>
      </c>
      <c r="AK225" s="83">
        <v>1</v>
      </c>
      <c r="AL225" s="83">
        <v>1040</v>
      </c>
      <c r="AM225" s="83" t="s">
        <v>2693</v>
      </c>
      <c r="BK225" s="83" t="s">
        <v>2694</v>
      </c>
      <c r="BL225" s="83" t="s">
        <v>2704</v>
      </c>
      <c r="BM225" s="83" t="s">
        <v>2698</v>
      </c>
      <c r="BN225" s="83" t="s">
        <v>2698</v>
      </c>
      <c r="BO225" s="83" t="s">
        <v>2697</v>
      </c>
      <c r="BP225" s="83" t="s">
        <v>2698</v>
      </c>
      <c r="BQ225" s="83" t="s">
        <v>2699</v>
      </c>
      <c r="BR225" s="83" t="s">
        <v>2693</v>
      </c>
      <c r="BS225" s="83" t="s">
        <v>2699</v>
      </c>
      <c r="BT225" s="83" t="s">
        <v>2696</v>
      </c>
      <c r="BU225" s="83" t="s">
        <v>2699</v>
      </c>
      <c r="BV225" s="83" t="s">
        <v>2696</v>
      </c>
      <c r="BW225" s="83" t="s">
        <v>2698</v>
      </c>
      <c r="BX225" s="83" t="s">
        <v>2696</v>
      </c>
      <c r="BY225" s="83" t="s">
        <v>2699</v>
      </c>
      <c r="BZ225" s="83" t="s">
        <v>2693</v>
      </c>
      <c r="CA225" s="83" t="s">
        <v>2693</v>
      </c>
      <c r="CB225" s="83" t="s">
        <v>2694</v>
      </c>
      <c r="CC225" s="83" t="s">
        <v>2699</v>
      </c>
      <c r="CD225" s="83" t="s">
        <v>2696</v>
      </c>
      <c r="CF225" s="83" t="s">
        <v>3295</v>
      </c>
      <c r="CG225" s="83" t="s">
        <v>3296</v>
      </c>
      <c r="CH225" s="83" t="s">
        <v>2693</v>
      </c>
      <c r="CI225" s="83" t="s">
        <v>3992</v>
      </c>
      <c r="CJ225" s="83" t="s">
        <v>2701</v>
      </c>
      <c r="CK225" s="144">
        <v>0</v>
      </c>
      <c r="CL225" s="99">
        <v>370000</v>
      </c>
    </row>
    <row r="226" spans="1:90">
      <c r="A226" s="83" t="s">
        <v>2632</v>
      </c>
      <c r="B226" s="83" t="s">
        <v>2634</v>
      </c>
      <c r="D226" s="83" t="s">
        <v>673</v>
      </c>
      <c r="E226" s="83" t="s">
        <v>2633</v>
      </c>
      <c r="F226" s="83" t="s">
        <v>3294</v>
      </c>
      <c r="G226" s="83" t="s">
        <v>2328</v>
      </c>
      <c r="H226" s="83" t="s">
        <v>1201</v>
      </c>
      <c r="I226" s="83" t="s">
        <v>1202</v>
      </c>
      <c r="J226" s="83" t="s">
        <v>1203</v>
      </c>
      <c r="K226" s="83" t="s">
        <v>565</v>
      </c>
      <c r="L226" s="83" t="s">
        <v>398</v>
      </c>
      <c r="M226" s="83" t="s">
        <v>399</v>
      </c>
      <c r="N226" s="83" t="s">
        <v>3277</v>
      </c>
      <c r="O226" s="83" t="s">
        <v>106</v>
      </c>
      <c r="P226" s="83">
        <v>4</v>
      </c>
      <c r="Q226" s="83" t="s">
        <v>106</v>
      </c>
      <c r="R226" s="83" t="s">
        <v>2727</v>
      </c>
      <c r="S226" s="83" t="s">
        <v>2712</v>
      </c>
      <c r="T226" s="83" t="s">
        <v>2843</v>
      </c>
      <c r="U226" s="83" t="s">
        <v>401</v>
      </c>
      <c r="AC226" s="83" t="s">
        <v>401</v>
      </c>
      <c r="AD226" s="83">
        <v>120000</v>
      </c>
      <c r="AF226" s="83">
        <v>49000</v>
      </c>
      <c r="AJ226" s="83">
        <v>1</v>
      </c>
      <c r="AK226" s="83">
        <v>1</v>
      </c>
      <c r="AL226" s="83">
        <v>1875</v>
      </c>
      <c r="AM226" s="83" t="s">
        <v>2693</v>
      </c>
      <c r="BK226" s="83" t="s">
        <v>2694</v>
      </c>
      <c r="BL226" s="83" t="s">
        <v>2704</v>
      </c>
      <c r="BM226" s="83" t="s">
        <v>2697</v>
      </c>
      <c r="BN226" s="83" t="s">
        <v>2698</v>
      </c>
      <c r="BO226" s="83" t="s">
        <v>2697</v>
      </c>
      <c r="BP226" s="83" t="s">
        <v>2698</v>
      </c>
      <c r="BQ226" s="83" t="s">
        <v>2699</v>
      </c>
      <c r="BR226" s="83" t="s">
        <v>2693</v>
      </c>
      <c r="BS226" s="83" t="s">
        <v>2699</v>
      </c>
      <c r="BT226" s="83" t="s">
        <v>2696</v>
      </c>
      <c r="BU226" s="83" t="s">
        <v>2699</v>
      </c>
      <c r="BV226" s="83" t="s">
        <v>2696</v>
      </c>
      <c r="BW226" s="83">
        <v>5</v>
      </c>
      <c r="BX226" s="83" t="s">
        <v>2696</v>
      </c>
      <c r="BY226" s="83" t="s">
        <v>2699</v>
      </c>
      <c r="BZ226" s="83" t="s">
        <v>2693</v>
      </c>
      <c r="CA226" s="83" t="s">
        <v>2693</v>
      </c>
      <c r="CB226" s="83" t="s">
        <v>2694</v>
      </c>
      <c r="CC226" s="83" t="s">
        <v>2699</v>
      </c>
      <c r="CD226" s="83" t="s">
        <v>2696</v>
      </c>
      <c r="CF226" s="83" t="s">
        <v>3297</v>
      </c>
      <c r="CG226" s="83" t="s">
        <v>3298</v>
      </c>
      <c r="CH226" s="83" t="s">
        <v>2693</v>
      </c>
      <c r="CI226" s="83" t="s">
        <v>3992</v>
      </c>
      <c r="CJ226" s="83" t="s">
        <v>2701</v>
      </c>
      <c r="CK226" s="144">
        <v>0</v>
      </c>
      <c r="CL226"/>
    </row>
    <row r="227" spans="1:90">
      <c r="A227" s="83" t="s">
        <v>1499</v>
      </c>
      <c r="B227" s="83" t="s">
        <v>1643</v>
      </c>
      <c r="D227" s="83" t="s">
        <v>688</v>
      </c>
      <c r="E227" s="83" t="s">
        <v>894</v>
      </c>
      <c r="F227" s="83" t="s">
        <v>1745</v>
      </c>
      <c r="G227" s="83" t="s">
        <v>1863</v>
      </c>
      <c r="H227" s="83" t="s">
        <v>1201</v>
      </c>
      <c r="I227" s="83" t="s">
        <v>1202</v>
      </c>
      <c r="J227" s="83" t="s">
        <v>1203</v>
      </c>
      <c r="K227" s="83" t="s">
        <v>565</v>
      </c>
      <c r="L227" s="83" t="s">
        <v>398</v>
      </c>
      <c r="M227" s="83" t="s">
        <v>399</v>
      </c>
      <c r="N227" s="83" t="s">
        <v>2750</v>
      </c>
      <c r="O227" s="83" t="s">
        <v>106</v>
      </c>
      <c r="P227" s="83">
        <v>1</v>
      </c>
      <c r="Q227" s="83" t="s">
        <v>106</v>
      </c>
      <c r="R227" s="83" t="s">
        <v>2691</v>
      </c>
      <c r="S227" s="83" t="s">
        <v>2720</v>
      </c>
      <c r="T227" s="83" t="s">
        <v>2703</v>
      </c>
      <c r="U227" s="83" t="s">
        <v>401</v>
      </c>
      <c r="AC227" s="83" t="s">
        <v>401</v>
      </c>
      <c r="AD227" s="83">
        <v>22000</v>
      </c>
      <c r="AF227" s="83">
        <v>0</v>
      </c>
      <c r="AJ227" s="83">
        <v>1</v>
      </c>
      <c r="AK227" s="83">
        <v>1</v>
      </c>
      <c r="AL227" s="83">
        <v>280</v>
      </c>
      <c r="AM227" s="83" t="s">
        <v>2693</v>
      </c>
      <c r="BK227" s="83" t="s">
        <v>2694</v>
      </c>
      <c r="BL227" s="83" t="s">
        <v>2704</v>
      </c>
      <c r="BM227" s="83" t="s">
        <v>2695</v>
      </c>
      <c r="BN227" s="83" t="s">
        <v>2697</v>
      </c>
      <c r="BO227" s="83" t="s">
        <v>2697</v>
      </c>
      <c r="BP227" s="83" t="s">
        <v>2695</v>
      </c>
      <c r="BQ227" s="83" t="s">
        <v>2699</v>
      </c>
      <c r="BR227" s="83" t="s">
        <v>2693</v>
      </c>
      <c r="BS227" s="83" t="s">
        <v>2699</v>
      </c>
      <c r="BT227" s="83">
        <v>0</v>
      </c>
      <c r="BU227" s="83" t="s">
        <v>2699</v>
      </c>
      <c r="BV227" s="83" t="s">
        <v>2696</v>
      </c>
      <c r="BW227" s="83" t="s">
        <v>2698</v>
      </c>
      <c r="BX227" s="83" t="s">
        <v>2696</v>
      </c>
      <c r="BY227" s="83" t="s">
        <v>2699</v>
      </c>
      <c r="BZ227" s="83" t="s">
        <v>2693</v>
      </c>
      <c r="CA227" s="83" t="s">
        <v>2693</v>
      </c>
      <c r="CB227" s="83">
        <v>9</v>
      </c>
      <c r="CC227" s="83" t="s">
        <v>2699</v>
      </c>
      <c r="CD227" s="83" t="s">
        <v>2696</v>
      </c>
      <c r="CF227" s="83" t="s">
        <v>2179</v>
      </c>
      <c r="CG227" s="83" t="s">
        <v>2180</v>
      </c>
      <c r="CH227" s="83" t="s">
        <v>2699</v>
      </c>
      <c r="CI227" s="83">
        <v>1</v>
      </c>
      <c r="CJ227" s="83" t="s">
        <v>2734</v>
      </c>
      <c r="CK227" s="144">
        <v>0</v>
      </c>
      <c r="CL227" s="99">
        <v>15000</v>
      </c>
    </row>
    <row r="228" spans="1:90">
      <c r="A228" s="83" t="s">
        <v>944</v>
      </c>
      <c r="B228" s="83" t="s">
        <v>3449</v>
      </c>
      <c r="D228" s="83" t="s">
        <v>688</v>
      </c>
      <c r="E228" s="83" t="s">
        <v>1279</v>
      </c>
      <c r="F228" s="83" t="s">
        <v>3450</v>
      </c>
      <c r="G228" s="83" t="s">
        <v>1162</v>
      </c>
      <c r="H228" s="83" t="s">
        <v>1201</v>
      </c>
      <c r="I228" s="83" t="s">
        <v>1202</v>
      </c>
      <c r="J228" s="83" t="s">
        <v>1203</v>
      </c>
      <c r="K228" s="83" t="s">
        <v>565</v>
      </c>
      <c r="L228" s="83" t="s">
        <v>398</v>
      </c>
      <c r="M228" s="83" t="s">
        <v>399</v>
      </c>
      <c r="N228" s="83" t="s">
        <v>3057</v>
      </c>
      <c r="O228" s="83" t="s">
        <v>106</v>
      </c>
      <c r="P228" s="83">
        <v>1</v>
      </c>
      <c r="Q228" s="83" t="s">
        <v>106</v>
      </c>
      <c r="R228" s="83" t="s">
        <v>2799</v>
      </c>
      <c r="S228" s="83" t="s">
        <v>2760</v>
      </c>
      <c r="T228" s="83" t="s">
        <v>2703</v>
      </c>
      <c r="U228" s="83" t="s">
        <v>401</v>
      </c>
      <c r="AC228" s="83" t="s">
        <v>401</v>
      </c>
      <c r="AD228" s="83">
        <v>479000</v>
      </c>
      <c r="AF228" s="83">
        <v>23000</v>
      </c>
      <c r="AJ228" s="83">
        <v>1</v>
      </c>
      <c r="AK228" s="83">
        <v>1</v>
      </c>
      <c r="AL228" s="83">
        <v>4549</v>
      </c>
      <c r="AM228" s="83" t="s">
        <v>2693</v>
      </c>
      <c r="BK228" s="83" t="s">
        <v>2694</v>
      </c>
      <c r="BL228" s="83" t="s">
        <v>2704</v>
      </c>
      <c r="BM228" s="83" t="s">
        <v>2695</v>
      </c>
      <c r="BN228" s="83" t="s">
        <v>2696</v>
      </c>
      <c r="BO228" s="83" t="s">
        <v>2697</v>
      </c>
      <c r="BP228" s="83" t="s">
        <v>2698</v>
      </c>
      <c r="BQ228" s="83" t="s">
        <v>2699</v>
      </c>
      <c r="BR228" s="83" t="s">
        <v>2693</v>
      </c>
      <c r="BS228" s="83" t="s">
        <v>2699</v>
      </c>
      <c r="BT228" s="83" t="s">
        <v>2696</v>
      </c>
      <c r="BU228" s="83" t="s">
        <v>2699</v>
      </c>
      <c r="BV228" s="83" t="s">
        <v>2697</v>
      </c>
      <c r="BW228" s="83" t="s">
        <v>2697</v>
      </c>
      <c r="BX228" s="83" t="s">
        <v>2696</v>
      </c>
      <c r="BY228" s="83" t="s">
        <v>2699</v>
      </c>
      <c r="BZ228" s="83" t="s">
        <v>2699</v>
      </c>
      <c r="CA228" s="83" t="s">
        <v>2693</v>
      </c>
      <c r="CB228" s="83" t="s">
        <v>2694</v>
      </c>
      <c r="CC228" s="83" t="s">
        <v>2699</v>
      </c>
      <c r="CD228" s="83" t="s">
        <v>2696</v>
      </c>
      <c r="CF228" s="83" t="s">
        <v>945</v>
      </c>
      <c r="CG228" s="83" t="s">
        <v>946</v>
      </c>
      <c r="CH228" s="83" t="s">
        <v>2699</v>
      </c>
      <c r="CI228" s="83" t="s">
        <v>2699</v>
      </c>
      <c r="CJ228" s="83" t="s">
        <v>2734</v>
      </c>
      <c r="CK228" s="144">
        <v>1</v>
      </c>
      <c r="CL228" s="99">
        <v>329000</v>
      </c>
    </row>
    <row r="229" spans="1:90">
      <c r="A229" s="83" t="s">
        <v>947</v>
      </c>
      <c r="B229" s="83" t="s">
        <v>3451</v>
      </c>
      <c r="D229" s="83" t="s">
        <v>688</v>
      </c>
      <c r="E229" s="83" t="s">
        <v>2388</v>
      </c>
      <c r="F229" s="83" t="s">
        <v>3450</v>
      </c>
      <c r="G229" s="83" t="s">
        <v>1162</v>
      </c>
      <c r="H229" s="83" t="s">
        <v>1201</v>
      </c>
      <c r="I229" s="83" t="s">
        <v>1202</v>
      </c>
      <c r="J229" s="83" t="s">
        <v>1203</v>
      </c>
      <c r="K229" s="83" t="s">
        <v>565</v>
      </c>
      <c r="L229" s="83" t="s">
        <v>398</v>
      </c>
      <c r="M229" s="83" t="s">
        <v>399</v>
      </c>
      <c r="N229" s="83" t="s">
        <v>3057</v>
      </c>
      <c r="O229" s="83" t="s">
        <v>106</v>
      </c>
      <c r="P229" s="83">
        <v>1</v>
      </c>
      <c r="Q229" s="83" t="s">
        <v>106</v>
      </c>
      <c r="R229" s="83" t="s">
        <v>2753</v>
      </c>
      <c r="S229" s="83" t="s">
        <v>2760</v>
      </c>
      <c r="T229" s="83" t="s">
        <v>2703</v>
      </c>
      <c r="U229" s="83" t="s">
        <v>401</v>
      </c>
      <c r="AC229" s="83" t="s">
        <v>401</v>
      </c>
      <c r="AD229" s="83">
        <v>75000</v>
      </c>
      <c r="AF229" s="83">
        <v>8000</v>
      </c>
      <c r="AJ229" s="83">
        <v>1</v>
      </c>
      <c r="AK229" s="83">
        <v>1</v>
      </c>
      <c r="AL229" s="83">
        <v>1276</v>
      </c>
      <c r="AM229" s="83" t="s">
        <v>2693</v>
      </c>
      <c r="BK229" s="83" t="s">
        <v>2694</v>
      </c>
      <c r="BL229" s="83" t="s">
        <v>2704</v>
      </c>
      <c r="BM229" s="83" t="s">
        <v>2698</v>
      </c>
      <c r="BN229" s="83" t="s">
        <v>2696</v>
      </c>
      <c r="BO229" s="83" t="s">
        <v>2697</v>
      </c>
      <c r="BP229" s="83" t="s">
        <v>2698</v>
      </c>
      <c r="BQ229" s="83" t="s">
        <v>2699</v>
      </c>
      <c r="BR229" s="83" t="s">
        <v>2693</v>
      </c>
      <c r="BS229" s="83" t="s">
        <v>2699</v>
      </c>
      <c r="BT229" s="83" t="s">
        <v>2696</v>
      </c>
      <c r="BU229" s="83" t="s">
        <v>2699</v>
      </c>
      <c r="BV229" s="83" t="s">
        <v>2697</v>
      </c>
      <c r="BW229" s="83" t="s">
        <v>2697</v>
      </c>
      <c r="BX229" s="83" t="s">
        <v>2696</v>
      </c>
      <c r="BY229" s="83" t="s">
        <v>2699</v>
      </c>
      <c r="BZ229" s="83" t="s">
        <v>2699</v>
      </c>
      <c r="CA229" s="83" t="s">
        <v>2693</v>
      </c>
      <c r="CB229" s="83" t="s">
        <v>2694</v>
      </c>
      <c r="CC229" s="83" t="s">
        <v>2696</v>
      </c>
      <c r="CD229" s="83" t="s">
        <v>2696</v>
      </c>
      <c r="CF229" s="83" t="s">
        <v>948</v>
      </c>
      <c r="CG229" s="83" t="s">
        <v>949</v>
      </c>
      <c r="CH229" s="83" t="s">
        <v>2699</v>
      </c>
      <c r="CI229" s="83" t="s">
        <v>2699</v>
      </c>
      <c r="CJ229" s="83" t="s">
        <v>2734</v>
      </c>
      <c r="CK229" s="144">
        <v>0</v>
      </c>
      <c r="CL229"/>
    </row>
    <row r="230" spans="1:90">
      <c r="A230" s="83" t="s">
        <v>947</v>
      </c>
      <c r="B230" s="83" t="s">
        <v>3451</v>
      </c>
      <c r="D230" s="83" t="s">
        <v>673</v>
      </c>
      <c r="E230" s="83" t="s">
        <v>2389</v>
      </c>
      <c r="F230" s="83" t="s">
        <v>3450</v>
      </c>
      <c r="G230" s="83" t="s">
        <v>1162</v>
      </c>
      <c r="H230" s="83" t="s">
        <v>1201</v>
      </c>
      <c r="I230" s="83" t="s">
        <v>1202</v>
      </c>
      <c r="J230" s="83" t="s">
        <v>1203</v>
      </c>
      <c r="K230" s="83" t="s">
        <v>565</v>
      </c>
      <c r="L230" s="83" t="s">
        <v>398</v>
      </c>
      <c r="M230" s="83" t="s">
        <v>399</v>
      </c>
      <c r="N230" s="83" t="s">
        <v>3057</v>
      </c>
      <c r="O230" s="83" t="s">
        <v>106</v>
      </c>
      <c r="P230" s="83">
        <v>1</v>
      </c>
      <c r="Q230" s="83" t="s">
        <v>106</v>
      </c>
      <c r="R230" s="83" t="s">
        <v>2767</v>
      </c>
      <c r="S230" s="83" t="s">
        <v>2760</v>
      </c>
      <c r="T230" s="83" t="s">
        <v>2703</v>
      </c>
      <c r="U230" s="83" t="s">
        <v>401</v>
      </c>
      <c r="AC230" s="83" t="s">
        <v>401</v>
      </c>
      <c r="AD230" s="83">
        <v>75000</v>
      </c>
      <c r="AF230" s="83">
        <v>8000</v>
      </c>
      <c r="AJ230" s="83">
        <v>1</v>
      </c>
      <c r="AK230" s="83">
        <v>1</v>
      </c>
      <c r="AL230" s="83">
        <v>1276</v>
      </c>
      <c r="AM230" s="83" t="s">
        <v>2693</v>
      </c>
      <c r="BK230" s="83" t="s">
        <v>2694</v>
      </c>
      <c r="BL230" s="83" t="s">
        <v>2704</v>
      </c>
      <c r="BM230" s="83" t="s">
        <v>2698</v>
      </c>
      <c r="BN230" s="83" t="s">
        <v>2696</v>
      </c>
      <c r="BO230" s="83" t="s">
        <v>2697</v>
      </c>
      <c r="BP230" s="83" t="s">
        <v>2698</v>
      </c>
      <c r="BQ230" s="83" t="s">
        <v>2699</v>
      </c>
      <c r="BR230" s="83" t="s">
        <v>2693</v>
      </c>
      <c r="BS230" s="83" t="s">
        <v>2699</v>
      </c>
      <c r="BT230" s="83" t="s">
        <v>2696</v>
      </c>
      <c r="BU230" s="83" t="s">
        <v>2699</v>
      </c>
      <c r="BV230" s="83" t="s">
        <v>2697</v>
      </c>
      <c r="BW230" s="83" t="s">
        <v>2697</v>
      </c>
      <c r="BX230" s="83" t="s">
        <v>2696</v>
      </c>
      <c r="BY230" s="83" t="s">
        <v>2699</v>
      </c>
      <c r="BZ230" s="83" t="s">
        <v>2699</v>
      </c>
      <c r="CA230" s="83" t="s">
        <v>2693</v>
      </c>
      <c r="CB230" s="83" t="s">
        <v>2694</v>
      </c>
      <c r="CC230" s="83" t="s">
        <v>2696</v>
      </c>
      <c r="CD230" s="83" t="s">
        <v>2696</v>
      </c>
      <c r="CF230" s="83" t="s">
        <v>950</v>
      </c>
      <c r="CG230" s="83" t="s">
        <v>951</v>
      </c>
      <c r="CH230" s="83" t="s">
        <v>2699</v>
      </c>
      <c r="CI230" s="83" t="s">
        <v>2699</v>
      </c>
      <c r="CJ230" s="83" t="s">
        <v>2734</v>
      </c>
      <c r="CK230" s="144">
        <v>0</v>
      </c>
      <c r="CL230"/>
    </row>
    <row r="231" spans="1:90">
      <c r="A231" s="83" t="s">
        <v>1508</v>
      </c>
      <c r="B231" s="83" t="s">
        <v>1644</v>
      </c>
      <c r="D231" s="83" t="s">
        <v>688</v>
      </c>
      <c r="E231" s="83" t="s">
        <v>1677</v>
      </c>
      <c r="F231" s="83" t="s">
        <v>1746</v>
      </c>
      <c r="G231" s="83" t="s">
        <v>1864</v>
      </c>
      <c r="H231" s="83" t="s">
        <v>1201</v>
      </c>
      <c r="I231" s="83" t="s">
        <v>1202</v>
      </c>
      <c r="J231" s="83" t="s">
        <v>1203</v>
      </c>
      <c r="K231" s="83" t="s">
        <v>565</v>
      </c>
      <c r="L231" s="83" t="s">
        <v>398</v>
      </c>
      <c r="M231" s="83" t="s">
        <v>399</v>
      </c>
      <c r="N231" s="83" t="s">
        <v>2743</v>
      </c>
      <c r="O231" s="83" t="s">
        <v>106</v>
      </c>
      <c r="P231" s="83">
        <v>1</v>
      </c>
      <c r="Q231" s="83" t="s">
        <v>106</v>
      </c>
      <c r="R231" s="83" t="s">
        <v>2727</v>
      </c>
      <c r="S231" s="83" t="s">
        <v>2797</v>
      </c>
      <c r="T231" s="83" t="s">
        <v>2703</v>
      </c>
      <c r="U231" s="83" t="s">
        <v>401</v>
      </c>
      <c r="AC231" s="83" t="s">
        <v>401</v>
      </c>
      <c r="AD231" s="83">
        <v>7000</v>
      </c>
      <c r="AF231" s="83">
        <v>0</v>
      </c>
      <c r="AJ231" s="83">
        <v>1</v>
      </c>
      <c r="AK231" s="83">
        <v>1</v>
      </c>
      <c r="AL231" s="83">
        <v>288</v>
      </c>
      <c r="AM231" s="83" t="s">
        <v>2693</v>
      </c>
      <c r="BK231" s="83" t="s">
        <v>2694</v>
      </c>
      <c r="BL231" s="83" t="s">
        <v>2704</v>
      </c>
      <c r="BM231" s="83" t="s">
        <v>2697</v>
      </c>
      <c r="BN231" s="83" t="s">
        <v>2699</v>
      </c>
      <c r="BO231" s="83" t="s">
        <v>2697</v>
      </c>
      <c r="BP231" s="83" t="s">
        <v>2698</v>
      </c>
      <c r="BQ231" s="83" t="s">
        <v>2693</v>
      </c>
      <c r="BR231" s="83" t="s">
        <v>2693</v>
      </c>
      <c r="BS231" s="83" t="s">
        <v>2699</v>
      </c>
      <c r="BT231" s="83">
        <v>0</v>
      </c>
      <c r="BU231" s="83" t="s">
        <v>2699</v>
      </c>
      <c r="BV231" s="83" t="s">
        <v>2696</v>
      </c>
      <c r="BW231" s="83" t="s">
        <v>2696</v>
      </c>
      <c r="BX231" s="83" t="s">
        <v>2696</v>
      </c>
      <c r="BY231" s="83" t="s">
        <v>2699</v>
      </c>
      <c r="BZ231" s="83" t="s">
        <v>2699</v>
      </c>
      <c r="CA231" s="83" t="s">
        <v>2693</v>
      </c>
      <c r="CB231" s="83">
        <v>9</v>
      </c>
      <c r="CC231" s="83" t="s">
        <v>2696</v>
      </c>
      <c r="CD231" s="83" t="s">
        <v>2696</v>
      </c>
      <c r="CF231" s="83" t="s">
        <v>2020</v>
      </c>
      <c r="CG231" s="83" t="s">
        <v>634</v>
      </c>
      <c r="CH231" s="83" t="s">
        <v>2699</v>
      </c>
      <c r="CI231" s="83">
        <v>1</v>
      </c>
      <c r="CJ231" s="83" t="s">
        <v>2734</v>
      </c>
      <c r="CK231" s="144">
        <v>0</v>
      </c>
      <c r="CL231" s="99">
        <v>17000</v>
      </c>
    </row>
    <row r="232" spans="1:90">
      <c r="A232" s="79" t="s">
        <v>2672</v>
      </c>
      <c r="B232" s="79" t="s">
        <v>4117</v>
      </c>
      <c r="C232" s="79"/>
      <c r="D232" s="79" t="s">
        <v>688</v>
      </c>
      <c r="E232" s="79" t="s">
        <v>4036</v>
      </c>
      <c r="F232" s="79" t="s">
        <v>3679</v>
      </c>
      <c r="G232" s="79" t="s">
        <v>2451</v>
      </c>
      <c r="H232" s="79" t="s">
        <v>1201</v>
      </c>
      <c r="I232" s="79" t="s">
        <v>1202</v>
      </c>
      <c r="J232" s="79" t="s">
        <v>1203</v>
      </c>
      <c r="K232" s="79" t="s">
        <v>565</v>
      </c>
      <c r="L232" s="79" t="s">
        <v>398</v>
      </c>
      <c r="M232" s="79" t="s">
        <v>399</v>
      </c>
      <c r="N232" s="79" t="s">
        <v>1909</v>
      </c>
      <c r="O232" s="79" t="s">
        <v>106</v>
      </c>
      <c r="P232" s="79">
        <v>4</v>
      </c>
      <c r="Q232" s="79" t="s">
        <v>106</v>
      </c>
      <c r="R232" s="79" t="s">
        <v>2727</v>
      </c>
      <c r="S232" s="79" t="s">
        <v>2712</v>
      </c>
      <c r="T232" s="79" t="s">
        <v>2703</v>
      </c>
      <c r="U232" s="79" t="s">
        <v>401</v>
      </c>
      <c r="AC232" s="79" t="s">
        <v>401</v>
      </c>
      <c r="AD232" s="79">
        <v>106000</v>
      </c>
      <c r="AE232" s="79"/>
      <c r="AF232" s="79">
        <v>8000</v>
      </c>
      <c r="AG232" s="79"/>
      <c r="AH232" s="79"/>
      <c r="AI232" s="79"/>
      <c r="AJ232" s="79">
        <v>1</v>
      </c>
      <c r="AK232" s="79">
        <v>1</v>
      </c>
      <c r="AL232" s="79">
        <v>1044</v>
      </c>
      <c r="AM232" s="79" t="s">
        <v>2693</v>
      </c>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t="s">
        <v>2694</v>
      </c>
      <c r="BL232" s="79" t="s">
        <v>2704</v>
      </c>
      <c r="BM232" s="79" t="s">
        <v>2698</v>
      </c>
      <c r="BN232" s="79" t="s">
        <v>2696</v>
      </c>
      <c r="BO232" s="79" t="s">
        <v>2697</v>
      </c>
      <c r="BP232" s="79" t="s">
        <v>2698</v>
      </c>
      <c r="BQ232" s="79" t="s">
        <v>2699</v>
      </c>
      <c r="BR232" s="79" t="s">
        <v>2693</v>
      </c>
      <c r="BS232" s="79" t="s">
        <v>2699</v>
      </c>
      <c r="BT232" s="79" t="s">
        <v>2696</v>
      </c>
      <c r="BU232" s="79">
        <v>1</v>
      </c>
      <c r="BV232" s="79" t="s">
        <v>2696</v>
      </c>
      <c r="BW232" s="79" t="s">
        <v>2698</v>
      </c>
      <c r="BX232" s="79" t="s">
        <v>2693</v>
      </c>
      <c r="BY232" s="79" t="s">
        <v>2699</v>
      </c>
      <c r="BZ232" s="79" t="s">
        <v>2699</v>
      </c>
      <c r="CA232" s="79" t="s">
        <v>2697</v>
      </c>
      <c r="CB232" s="79">
        <v>9</v>
      </c>
      <c r="CC232" s="79" t="s">
        <v>2699</v>
      </c>
      <c r="CD232" s="79" t="s">
        <v>2696</v>
      </c>
      <c r="CE232" s="79"/>
      <c r="CF232" s="81" t="s">
        <v>2468</v>
      </c>
      <c r="CG232" s="81" t="s">
        <v>4113</v>
      </c>
      <c r="CH232" s="79" t="s">
        <v>2693</v>
      </c>
      <c r="CI232" s="79" t="s">
        <v>2076</v>
      </c>
      <c r="CJ232" s="79" t="s">
        <v>2701</v>
      </c>
      <c r="CK232" s="145">
        <v>21</v>
      </c>
      <c r="CL232" s="99">
        <v>977000</v>
      </c>
    </row>
    <row r="233" spans="1:90">
      <c r="A233" s="79" t="s">
        <v>2672</v>
      </c>
      <c r="B233" s="79" t="s">
        <v>4117</v>
      </c>
      <c r="C233" s="79"/>
      <c r="D233" s="79" t="s">
        <v>673</v>
      </c>
      <c r="E233" s="79" t="s">
        <v>894</v>
      </c>
      <c r="F233" s="79" t="s">
        <v>3679</v>
      </c>
      <c r="G233" s="79" t="s">
        <v>2451</v>
      </c>
      <c r="H233" s="79" t="s">
        <v>1201</v>
      </c>
      <c r="I233" s="79" t="s">
        <v>1202</v>
      </c>
      <c r="J233" s="79" t="s">
        <v>1203</v>
      </c>
      <c r="K233" s="79" t="s">
        <v>565</v>
      </c>
      <c r="L233" s="79" t="s">
        <v>398</v>
      </c>
      <c r="M233" s="79" t="s">
        <v>399</v>
      </c>
      <c r="N233" s="79" t="s">
        <v>1909</v>
      </c>
      <c r="O233" s="79" t="s">
        <v>106</v>
      </c>
      <c r="P233" s="79">
        <v>4</v>
      </c>
      <c r="Q233" s="79" t="s">
        <v>106</v>
      </c>
      <c r="R233" s="79" t="s">
        <v>2727</v>
      </c>
      <c r="S233" s="79" t="s">
        <v>2712</v>
      </c>
      <c r="T233" s="79" t="s">
        <v>2703</v>
      </c>
      <c r="U233" s="79" t="s">
        <v>401</v>
      </c>
      <c r="AC233" s="79" t="s">
        <v>401</v>
      </c>
      <c r="AD233" s="79">
        <v>64000</v>
      </c>
      <c r="AE233" s="79"/>
      <c r="AF233" s="79">
        <v>2000</v>
      </c>
      <c r="AG233" s="79"/>
      <c r="AH233" s="79"/>
      <c r="AI233" s="79"/>
      <c r="AJ233" s="79">
        <v>1</v>
      </c>
      <c r="AK233" s="79">
        <v>1</v>
      </c>
      <c r="AL233" s="79">
        <v>480</v>
      </c>
      <c r="AM233" s="79" t="s">
        <v>2693</v>
      </c>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t="s">
        <v>2694</v>
      </c>
      <c r="BL233" s="79" t="s">
        <v>2704</v>
      </c>
      <c r="BM233" s="79" t="s">
        <v>2698</v>
      </c>
      <c r="BN233" s="79" t="s">
        <v>2696</v>
      </c>
      <c r="BO233" s="79" t="s">
        <v>2697</v>
      </c>
      <c r="BP233" s="79" t="s">
        <v>2698</v>
      </c>
      <c r="BQ233" s="79" t="s">
        <v>2699</v>
      </c>
      <c r="BR233" s="79" t="s">
        <v>2693</v>
      </c>
      <c r="BS233" s="79" t="s">
        <v>2699</v>
      </c>
      <c r="BT233" s="79" t="s">
        <v>2696</v>
      </c>
      <c r="BU233" s="79">
        <v>1</v>
      </c>
      <c r="BV233" s="79" t="s">
        <v>2696</v>
      </c>
      <c r="BW233" s="79" t="s">
        <v>2698</v>
      </c>
      <c r="BX233" s="79" t="s">
        <v>2693</v>
      </c>
      <c r="BY233" s="79" t="s">
        <v>2699</v>
      </c>
      <c r="BZ233" s="79" t="s">
        <v>2699</v>
      </c>
      <c r="CA233" s="79" t="s">
        <v>2697</v>
      </c>
      <c r="CB233" s="79">
        <v>9</v>
      </c>
      <c r="CC233" s="79" t="s">
        <v>2699</v>
      </c>
      <c r="CD233" s="79" t="s">
        <v>2696</v>
      </c>
      <c r="CE233" s="79"/>
      <c r="CF233" s="81" t="s">
        <v>2468</v>
      </c>
      <c r="CG233" s="81" t="s">
        <v>4113</v>
      </c>
      <c r="CH233" s="79" t="s">
        <v>2693</v>
      </c>
      <c r="CI233" s="79" t="s">
        <v>2076</v>
      </c>
      <c r="CJ233" s="79" t="s">
        <v>2701</v>
      </c>
      <c r="CK233" s="145">
        <v>0</v>
      </c>
      <c r="CL233"/>
    </row>
    <row r="234" spans="1:90">
      <c r="A234" s="79" t="s">
        <v>2672</v>
      </c>
      <c r="B234" s="79" t="s">
        <v>4117</v>
      </c>
      <c r="C234" s="79"/>
      <c r="D234" s="79" t="s">
        <v>714</v>
      </c>
      <c r="E234" s="79" t="s">
        <v>4112</v>
      </c>
      <c r="F234" s="79" t="s">
        <v>3679</v>
      </c>
      <c r="G234" s="79" t="s">
        <v>2451</v>
      </c>
      <c r="H234" s="79" t="s">
        <v>1201</v>
      </c>
      <c r="I234" s="79" t="s">
        <v>1202</v>
      </c>
      <c r="J234" s="79" t="s">
        <v>1203</v>
      </c>
      <c r="K234" s="79" t="s">
        <v>565</v>
      </c>
      <c r="L234" s="79" t="s">
        <v>398</v>
      </c>
      <c r="M234" s="79" t="s">
        <v>399</v>
      </c>
      <c r="N234" s="79" t="s">
        <v>1909</v>
      </c>
      <c r="O234" s="79" t="s">
        <v>106</v>
      </c>
      <c r="P234" s="79">
        <v>4</v>
      </c>
      <c r="Q234" s="79" t="s">
        <v>106</v>
      </c>
      <c r="R234" s="79" t="s">
        <v>2727</v>
      </c>
      <c r="S234" s="79" t="s">
        <v>2712</v>
      </c>
      <c r="T234" s="79" t="s">
        <v>2703</v>
      </c>
      <c r="U234" s="79" t="s">
        <v>401</v>
      </c>
      <c r="AC234" s="79" t="s">
        <v>401</v>
      </c>
      <c r="AD234" s="79">
        <v>106000</v>
      </c>
      <c r="AE234" s="79"/>
      <c r="AF234" s="79">
        <v>11000</v>
      </c>
      <c r="AG234" s="79"/>
      <c r="AH234" s="79"/>
      <c r="AI234" s="79"/>
      <c r="AJ234" s="79">
        <v>1</v>
      </c>
      <c r="AK234" s="79">
        <v>2</v>
      </c>
      <c r="AL234" s="79">
        <v>1102</v>
      </c>
      <c r="AM234" s="79" t="s">
        <v>2693</v>
      </c>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79"/>
      <c r="BJ234" s="79"/>
      <c r="BK234" s="79" t="s">
        <v>2694</v>
      </c>
      <c r="BL234" s="79" t="s">
        <v>2704</v>
      </c>
      <c r="BM234" s="79" t="s">
        <v>2697</v>
      </c>
      <c r="BN234" s="79" t="s">
        <v>2696</v>
      </c>
      <c r="BO234" s="79" t="s">
        <v>2697</v>
      </c>
      <c r="BP234" s="79" t="s">
        <v>2698</v>
      </c>
      <c r="BQ234" s="79" t="s">
        <v>2699</v>
      </c>
      <c r="BR234" s="79" t="s">
        <v>2693</v>
      </c>
      <c r="BS234" s="79" t="s">
        <v>2699</v>
      </c>
      <c r="BT234" s="79" t="s">
        <v>2696</v>
      </c>
      <c r="BU234" s="79">
        <v>1</v>
      </c>
      <c r="BV234" s="79" t="s">
        <v>2696</v>
      </c>
      <c r="BW234" s="79" t="s">
        <v>2698</v>
      </c>
      <c r="BX234" s="79" t="s">
        <v>2693</v>
      </c>
      <c r="BY234" s="79" t="s">
        <v>2699</v>
      </c>
      <c r="BZ234" s="79" t="s">
        <v>2699</v>
      </c>
      <c r="CA234" s="79" t="s">
        <v>2697</v>
      </c>
      <c r="CB234" s="79">
        <v>9</v>
      </c>
      <c r="CC234" s="79" t="s">
        <v>2699</v>
      </c>
      <c r="CD234" s="79" t="s">
        <v>2696</v>
      </c>
      <c r="CE234" s="79"/>
      <c r="CF234" s="81" t="s">
        <v>2468</v>
      </c>
      <c r="CG234" s="81" t="s">
        <v>4113</v>
      </c>
      <c r="CH234" s="79" t="s">
        <v>2693</v>
      </c>
      <c r="CI234" s="79" t="s">
        <v>2076</v>
      </c>
      <c r="CJ234" s="79" t="s">
        <v>2701</v>
      </c>
      <c r="CK234" s="145">
        <v>0</v>
      </c>
      <c r="CL234"/>
    </row>
    <row r="235" spans="1:90">
      <c r="A235" s="79" t="s">
        <v>2673</v>
      </c>
      <c r="B235" s="79" t="s">
        <v>4116</v>
      </c>
      <c r="C235" s="79"/>
      <c r="D235" s="79" t="s">
        <v>688</v>
      </c>
      <c r="E235" s="79" t="s">
        <v>822</v>
      </c>
      <c r="F235" s="79" t="s">
        <v>3680</v>
      </c>
      <c r="G235" s="79" t="s">
        <v>2451</v>
      </c>
      <c r="H235" s="79" t="s">
        <v>1201</v>
      </c>
      <c r="I235" s="79" t="s">
        <v>1202</v>
      </c>
      <c r="J235" s="79" t="s">
        <v>1203</v>
      </c>
      <c r="K235" s="79" t="s">
        <v>565</v>
      </c>
      <c r="L235" s="79" t="s">
        <v>398</v>
      </c>
      <c r="M235" s="79" t="s">
        <v>399</v>
      </c>
      <c r="N235" s="79" t="s">
        <v>1909</v>
      </c>
      <c r="O235" s="79" t="s">
        <v>106</v>
      </c>
      <c r="P235" s="79">
        <v>4</v>
      </c>
      <c r="Q235" s="79" t="s">
        <v>106</v>
      </c>
      <c r="R235" s="79" t="s">
        <v>2691</v>
      </c>
      <c r="S235" s="79" t="s">
        <v>2712</v>
      </c>
      <c r="T235" s="79" t="s">
        <v>2703</v>
      </c>
      <c r="U235" s="79" t="s">
        <v>401</v>
      </c>
      <c r="AC235" s="79" t="s">
        <v>401</v>
      </c>
      <c r="AD235" s="79">
        <v>277000</v>
      </c>
      <c r="AE235" s="79"/>
      <c r="AF235" s="79">
        <v>33000</v>
      </c>
      <c r="AG235" s="79"/>
      <c r="AH235" s="79"/>
      <c r="AI235" s="79"/>
      <c r="AJ235" s="79">
        <v>1</v>
      </c>
      <c r="AK235" s="79">
        <v>1</v>
      </c>
      <c r="AL235" s="79">
        <v>3366</v>
      </c>
      <c r="AM235" s="79" t="s">
        <v>2693</v>
      </c>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79"/>
      <c r="BJ235" s="79"/>
      <c r="BK235" s="79" t="s">
        <v>2694</v>
      </c>
      <c r="BL235" s="79" t="s">
        <v>2704</v>
      </c>
      <c r="BM235" s="79" t="s">
        <v>2697</v>
      </c>
      <c r="BN235" s="79" t="s">
        <v>2696</v>
      </c>
      <c r="BO235" s="79" t="s">
        <v>2697</v>
      </c>
      <c r="BP235" s="79" t="s">
        <v>2698</v>
      </c>
      <c r="BQ235" s="79" t="s">
        <v>2699</v>
      </c>
      <c r="BR235" s="79" t="s">
        <v>2693</v>
      </c>
      <c r="BS235" s="79" t="s">
        <v>2699</v>
      </c>
      <c r="BT235" s="79" t="s">
        <v>2696</v>
      </c>
      <c r="BU235" s="79">
        <v>1</v>
      </c>
      <c r="BV235" s="79" t="s">
        <v>2696</v>
      </c>
      <c r="BW235" s="79" t="s">
        <v>2698</v>
      </c>
      <c r="BX235" s="79" t="s">
        <v>2693</v>
      </c>
      <c r="BY235" s="79" t="s">
        <v>2699</v>
      </c>
      <c r="BZ235" s="79" t="s">
        <v>2699</v>
      </c>
      <c r="CA235" s="79" t="s">
        <v>2697</v>
      </c>
      <c r="CB235" s="79">
        <v>9</v>
      </c>
      <c r="CC235" s="79" t="s">
        <v>2699</v>
      </c>
      <c r="CD235" s="79" t="s">
        <v>2696</v>
      </c>
      <c r="CE235" s="79"/>
      <c r="CF235" s="81" t="s">
        <v>4114</v>
      </c>
      <c r="CG235" s="81" t="s">
        <v>4115</v>
      </c>
      <c r="CH235" s="79" t="s">
        <v>2693</v>
      </c>
      <c r="CI235" s="79" t="s">
        <v>2076</v>
      </c>
      <c r="CJ235" s="79" t="s">
        <v>2701</v>
      </c>
      <c r="CK235" s="145">
        <v>1</v>
      </c>
      <c r="CL235" s="99">
        <v>65000</v>
      </c>
    </row>
    <row r="236" spans="1:90" s="79" customFormat="1">
      <c r="A236" s="83" t="s">
        <v>1560</v>
      </c>
      <c r="B236" s="83" t="s">
        <v>1645</v>
      </c>
      <c r="C236" s="83"/>
      <c r="D236" s="83" t="s">
        <v>688</v>
      </c>
      <c r="E236" s="83" t="s">
        <v>1012</v>
      </c>
      <c r="F236" s="83" t="s">
        <v>1747</v>
      </c>
      <c r="G236" s="83" t="s">
        <v>1865</v>
      </c>
      <c r="H236" s="83" t="s">
        <v>1201</v>
      </c>
      <c r="I236" s="83" t="s">
        <v>1202</v>
      </c>
      <c r="J236" s="83" t="s">
        <v>1203</v>
      </c>
      <c r="K236" s="83" t="s">
        <v>565</v>
      </c>
      <c r="L236" s="83" t="s">
        <v>398</v>
      </c>
      <c r="M236" s="83" t="s">
        <v>399</v>
      </c>
      <c r="N236" s="83" t="s">
        <v>2743</v>
      </c>
      <c r="O236" s="83" t="s">
        <v>106</v>
      </c>
      <c r="P236" s="83">
        <v>5</v>
      </c>
      <c r="Q236" s="83" t="s">
        <v>106</v>
      </c>
      <c r="R236" s="83" t="s">
        <v>2691</v>
      </c>
      <c r="S236" s="83" t="s">
        <v>2720</v>
      </c>
      <c r="T236" s="83" t="s">
        <v>2703</v>
      </c>
      <c r="U236" s="83" t="s">
        <v>401</v>
      </c>
      <c r="V236" s="97"/>
      <c r="W236" s="97"/>
      <c r="X236" s="97"/>
      <c r="Y236" s="97"/>
      <c r="Z236" s="97"/>
      <c r="AA236" s="97"/>
      <c r="AB236" s="97"/>
      <c r="AC236" s="83" t="s">
        <v>401</v>
      </c>
      <c r="AD236" s="83">
        <v>237000</v>
      </c>
      <c r="AE236" s="83"/>
      <c r="AF236" s="83">
        <v>0</v>
      </c>
      <c r="AG236" s="83"/>
      <c r="AH236" s="83"/>
      <c r="AI236" s="83"/>
      <c r="AJ236" s="83">
        <v>1</v>
      </c>
      <c r="AK236" s="83">
        <v>1</v>
      </c>
      <c r="AL236" s="83">
        <v>1963</v>
      </c>
      <c r="AM236" s="83" t="s">
        <v>2693</v>
      </c>
      <c r="AN236" s="83"/>
      <c r="AO236" s="83"/>
      <c r="AP236" s="83"/>
      <c r="AQ236" s="83"/>
      <c r="AR236" s="83"/>
      <c r="AS236" s="83"/>
      <c r="AT236" s="83"/>
      <c r="AU236" s="83"/>
      <c r="AV236" s="83"/>
      <c r="AW236" s="83"/>
      <c r="AX236" s="83"/>
      <c r="AY236" s="83"/>
      <c r="AZ236" s="83"/>
      <c r="BA236" s="83"/>
      <c r="BB236" s="83"/>
      <c r="BC236" s="83"/>
      <c r="BD236" s="83"/>
      <c r="BE236" s="83"/>
      <c r="BF236" s="83"/>
      <c r="BG236" s="83"/>
      <c r="BH236" s="83"/>
      <c r="BI236" s="83"/>
      <c r="BJ236" s="83"/>
      <c r="BK236" s="83" t="s">
        <v>2694</v>
      </c>
      <c r="BL236" s="83" t="s">
        <v>2704</v>
      </c>
      <c r="BM236" s="83" t="s">
        <v>2693</v>
      </c>
      <c r="BN236" s="83" t="s">
        <v>2699</v>
      </c>
      <c r="BO236" s="83" t="s">
        <v>2697</v>
      </c>
      <c r="BP236" s="83" t="s">
        <v>2695</v>
      </c>
      <c r="BQ236" s="83" t="s">
        <v>2693</v>
      </c>
      <c r="BR236" s="83" t="s">
        <v>2693</v>
      </c>
      <c r="BS236" s="83" t="s">
        <v>2699</v>
      </c>
      <c r="BT236" s="83">
        <v>0</v>
      </c>
      <c r="BU236" s="83" t="s">
        <v>2699</v>
      </c>
      <c r="BV236" s="83" t="s">
        <v>2699</v>
      </c>
      <c r="BW236" s="83" t="s">
        <v>2699</v>
      </c>
      <c r="BX236" s="83" t="s">
        <v>2696</v>
      </c>
      <c r="BY236" s="83" t="s">
        <v>2699</v>
      </c>
      <c r="BZ236" s="83" t="s">
        <v>2693</v>
      </c>
      <c r="CA236" s="83" t="s">
        <v>2693</v>
      </c>
      <c r="CB236" s="83">
        <v>9</v>
      </c>
      <c r="CC236" s="83" t="s">
        <v>2699</v>
      </c>
      <c r="CD236" s="83" t="s">
        <v>2696</v>
      </c>
      <c r="CE236" s="83"/>
      <c r="CF236" s="83" t="s">
        <v>2051</v>
      </c>
      <c r="CG236" s="83" t="s">
        <v>2052</v>
      </c>
      <c r="CH236" s="83" t="s">
        <v>2725</v>
      </c>
      <c r="CI236" s="83" t="s">
        <v>2009</v>
      </c>
      <c r="CJ236" s="83">
        <v>134</v>
      </c>
      <c r="CK236" s="144">
        <v>0</v>
      </c>
      <c r="CL236" s="99">
        <v>421000</v>
      </c>
    </row>
    <row r="237" spans="1:90">
      <c r="A237" s="83" t="s">
        <v>1560</v>
      </c>
      <c r="B237" s="83" t="s">
        <v>1645</v>
      </c>
      <c r="D237" s="83" t="s">
        <v>673</v>
      </c>
      <c r="E237" s="83" t="s">
        <v>2798</v>
      </c>
      <c r="F237" s="83" t="s">
        <v>1747</v>
      </c>
      <c r="G237" s="83" t="s">
        <v>1865</v>
      </c>
      <c r="H237" s="83" t="s">
        <v>1201</v>
      </c>
      <c r="I237" s="83" t="s">
        <v>1202</v>
      </c>
      <c r="J237" s="83" t="s">
        <v>1203</v>
      </c>
      <c r="K237" s="83" t="s">
        <v>565</v>
      </c>
      <c r="L237" s="83" t="s">
        <v>398</v>
      </c>
      <c r="M237" s="83" t="s">
        <v>399</v>
      </c>
      <c r="N237" s="83" t="s">
        <v>2743</v>
      </c>
      <c r="O237" s="83" t="s">
        <v>106</v>
      </c>
      <c r="P237" s="83">
        <v>4</v>
      </c>
      <c r="Q237" s="83" t="s">
        <v>106</v>
      </c>
      <c r="R237" s="83" t="s">
        <v>2691</v>
      </c>
      <c r="S237" s="83" t="s">
        <v>1468</v>
      </c>
      <c r="T237" s="83" t="s">
        <v>2703</v>
      </c>
      <c r="U237" s="83" t="s">
        <v>401</v>
      </c>
      <c r="AC237" s="83" t="s">
        <v>401</v>
      </c>
      <c r="AD237" s="83">
        <v>123000</v>
      </c>
      <c r="AF237" s="83">
        <v>0</v>
      </c>
      <c r="AJ237" s="83">
        <v>1</v>
      </c>
      <c r="AK237" s="83">
        <v>2</v>
      </c>
      <c r="AL237" s="83">
        <v>1008</v>
      </c>
      <c r="AM237" s="83" t="s">
        <v>2693</v>
      </c>
      <c r="BK237" s="83" t="s">
        <v>2694</v>
      </c>
      <c r="BL237" s="83" t="s">
        <v>2704</v>
      </c>
      <c r="BM237" s="83" t="s">
        <v>2693</v>
      </c>
      <c r="BN237" s="83" t="s">
        <v>2699</v>
      </c>
      <c r="BO237" s="83" t="s">
        <v>2699</v>
      </c>
      <c r="BP237" s="83" t="s">
        <v>2695</v>
      </c>
      <c r="BQ237" s="83" t="s">
        <v>2693</v>
      </c>
      <c r="BR237" s="83" t="s">
        <v>2693</v>
      </c>
      <c r="BS237" s="83" t="s">
        <v>2699</v>
      </c>
      <c r="BT237" s="83">
        <v>0</v>
      </c>
      <c r="BU237" s="83" t="s">
        <v>2699</v>
      </c>
      <c r="BV237" s="83" t="s">
        <v>2699</v>
      </c>
      <c r="BW237" s="83" t="s">
        <v>2699</v>
      </c>
      <c r="BX237" s="83" t="s">
        <v>2696</v>
      </c>
      <c r="BY237" s="83" t="s">
        <v>2699</v>
      </c>
      <c r="BZ237" s="83" t="s">
        <v>2693</v>
      </c>
      <c r="CA237" s="83" t="s">
        <v>2693</v>
      </c>
      <c r="CB237" s="83">
        <v>9</v>
      </c>
      <c r="CC237" s="83" t="s">
        <v>2699</v>
      </c>
      <c r="CD237" s="83" t="s">
        <v>2696</v>
      </c>
      <c r="CF237" s="83" t="s">
        <v>2053</v>
      </c>
      <c r="CG237" s="83" t="s">
        <v>2054</v>
      </c>
      <c r="CH237" s="83" t="s">
        <v>2693</v>
      </c>
      <c r="CI237" s="83" t="s">
        <v>2693</v>
      </c>
      <c r="CJ237" s="83" t="s">
        <v>2701</v>
      </c>
      <c r="CK237" s="144">
        <v>0</v>
      </c>
      <c r="CL237"/>
    </row>
    <row r="238" spans="1:90">
      <c r="A238" s="83" t="s">
        <v>1560</v>
      </c>
      <c r="B238" s="83" t="s">
        <v>1645</v>
      </c>
      <c r="D238" s="83" t="s">
        <v>714</v>
      </c>
      <c r="E238" s="83" t="s">
        <v>2723</v>
      </c>
      <c r="F238" s="83" t="s">
        <v>1747</v>
      </c>
      <c r="G238" s="83" t="s">
        <v>1865</v>
      </c>
      <c r="H238" s="83" t="s">
        <v>1201</v>
      </c>
      <c r="I238" s="83" t="s">
        <v>1202</v>
      </c>
      <c r="J238" s="83" t="s">
        <v>1203</v>
      </c>
      <c r="K238" s="83" t="s">
        <v>565</v>
      </c>
      <c r="L238" s="83" t="s">
        <v>398</v>
      </c>
      <c r="M238" s="83" t="s">
        <v>399</v>
      </c>
      <c r="N238" s="83" t="s">
        <v>2743</v>
      </c>
      <c r="O238" s="83" t="s">
        <v>106</v>
      </c>
      <c r="P238" s="83">
        <v>5</v>
      </c>
      <c r="Q238" s="83" t="s">
        <v>106</v>
      </c>
      <c r="R238" s="83" t="s">
        <v>2691</v>
      </c>
      <c r="S238" s="83" t="s">
        <v>2720</v>
      </c>
      <c r="T238" s="83" t="s">
        <v>2703</v>
      </c>
      <c r="U238" s="83" t="s">
        <v>401</v>
      </c>
      <c r="AC238" s="83" t="s">
        <v>401</v>
      </c>
      <c r="AD238" s="83">
        <v>108000</v>
      </c>
      <c r="AF238" s="83">
        <v>2000</v>
      </c>
      <c r="AJ238" s="83">
        <v>1</v>
      </c>
      <c r="AK238" s="83">
        <v>1</v>
      </c>
      <c r="AL238" s="83">
        <v>600</v>
      </c>
      <c r="AM238" s="83" t="s">
        <v>2693</v>
      </c>
      <c r="BK238" s="83" t="s">
        <v>2694</v>
      </c>
      <c r="BL238" s="83" t="s">
        <v>2704</v>
      </c>
      <c r="BM238" s="83" t="s">
        <v>2693</v>
      </c>
      <c r="BN238" s="83" t="s">
        <v>2699</v>
      </c>
      <c r="BO238" s="83" t="s">
        <v>2697</v>
      </c>
      <c r="BP238" s="83" t="s">
        <v>2699</v>
      </c>
      <c r="BQ238" s="83" t="s">
        <v>2693</v>
      </c>
      <c r="BR238" s="83" t="s">
        <v>2693</v>
      </c>
      <c r="BS238" s="83" t="s">
        <v>2699</v>
      </c>
      <c r="BT238" s="83">
        <v>0</v>
      </c>
      <c r="BU238" s="83" t="s">
        <v>2699</v>
      </c>
      <c r="BV238" s="83" t="s">
        <v>2699</v>
      </c>
      <c r="BW238" s="83" t="s">
        <v>2699</v>
      </c>
      <c r="BX238" s="83" t="s">
        <v>2696</v>
      </c>
      <c r="BY238" s="83" t="s">
        <v>2699</v>
      </c>
      <c r="BZ238" s="83" t="s">
        <v>2693</v>
      </c>
      <c r="CA238" s="83" t="s">
        <v>2693</v>
      </c>
      <c r="CB238" s="83">
        <v>9</v>
      </c>
      <c r="CC238" s="83" t="s">
        <v>2699</v>
      </c>
      <c r="CD238" s="83" t="s">
        <v>2696</v>
      </c>
      <c r="CF238" s="83" t="s">
        <v>2055</v>
      </c>
      <c r="CG238" s="83" t="s">
        <v>2056</v>
      </c>
      <c r="CH238" s="83" t="s">
        <v>2725</v>
      </c>
      <c r="CI238" s="83" t="s">
        <v>1358</v>
      </c>
      <c r="CJ238" s="83" t="s">
        <v>2726</v>
      </c>
      <c r="CK238" s="144">
        <v>0</v>
      </c>
      <c r="CL238"/>
    </row>
    <row r="239" spans="1:90">
      <c r="A239" s="83" t="s">
        <v>1560</v>
      </c>
      <c r="B239" s="83" t="s">
        <v>1645</v>
      </c>
      <c r="D239" s="83" t="s">
        <v>716</v>
      </c>
      <c r="E239" s="83" t="s">
        <v>2718</v>
      </c>
      <c r="F239" s="83" t="s">
        <v>1747</v>
      </c>
      <c r="G239" s="83" t="s">
        <v>1865</v>
      </c>
      <c r="H239" s="83" t="s">
        <v>1201</v>
      </c>
      <c r="I239" s="83" t="s">
        <v>1202</v>
      </c>
      <c r="J239" s="83" t="s">
        <v>1203</v>
      </c>
      <c r="K239" s="83" t="s">
        <v>565</v>
      </c>
      <c r="L239" s="83" t="s">
        <v>398</v>
      </c>
      <c r="M239" s="83" t="s">
        <v>399</v>
      </c>
      <c r="N239" s="83" t="s">
        <v>2743</v>
      </c>
      <c r="O239" s="83" t="s">
        <v>106</v>
      </c>
      <c r="P239" s="83">
        <v>5</v>
      </c>
      <c r="Q239" s="83" t="s">
        <v>106</v>
      </c>
      <c r="R239" s="83" t="s">
        <v>2727</v>
      </c>
      <c r="S239" s="83" t="s">
        <v>2720</v>
      </c>
      <c r="T239" s="83" t="s">
        <v>2703</v>
      </c>
      <c r="U239" s="83" t="s">
        <v>401</v>
      </c>
      <c r="AC239" s="83" t="s">
        <v>401</v>
      </c>
      <c r="AD239" s="83">
        <v>518000</v>
      </c>
      <c r="AF239" s="83">
        <v>0</v>
      </c>
      <c r="AJ239" s="83">
        <v>1</v>
      </c>
      <c r="AK239" s="83">
        <v>1</v>
      </c>
      <c r="AL239" s="83">
        <v>600</v>
      </c>
      <c r="AM239" s="83" t="s">
        <v>2693</v>
      </c>
      <c r="BK239" s="83" t="s">
        <v>2694</v>
      </c>
      <c r="BL239" s="83" t="s">
        <v>2696</v>
      </c>
      <c r="BM239" s="83" t="s">
        <v>2693</v>
      </c>
      <c r="BN239" s="83" t="s">
        <v>2699</v>
      </c>
      <c r="BO239" s="83" t="s">
        <v>2697</v>
      </c>
      <c r="BP239" s="83" t="s">
        <v>2699</v>
      </c>
      <c r="BQ239" s="83" t="s">
        <v>2693</v>
      </c>
      <c r="BR239" s="83" t="s">
        <v>2693</v>
      </c>
      <c r="BS239" s="83" t="s">
        <v>2699</v>
      </c>
      <c r="BT239" s="83">
        <v>0</v>
      </c>
      <c r="BU239" s="83" t="s">
        <v>2699</v>
      </c>
      <c r="BV239" s="83" t="s">
        <v>2699</v>
      </c>
      <c r="BW239" s="83" t="s">
        <v>2699</v>
      </c>
      <c r="BX239" s="83" t="s">
        <v>2696</v>
      </c>
      <c r="BY239" s="83" t="s">
        <v>2699</v>
      </c>
      <c r="BZ239" s="83" t="s">
        <v>2693</v>
      </c>
      <c r="CA239" s="83" t="s">
        <v>2693</v>
      </c>
      <c r="CB239" s="83">
        <v>9</v>
      </c>
      <c r="CC239" s="83" t="s">
        <v>2699</v>
      </c>
      <c r="CD239" s="83" t="s">
        <v>2696</v>
      </c>
      <c r="CF239" s="83" t="s">
        <v>2057</v>
      </c>
      <c r="CG239" s="83" t="s">
        <v>2058</v>
      </c>
      <c r="CH239" s="83" t="s">
        <v>2725</v>
      </c>
      <c r="CI239" s="83" t="s">
        <v>1358</v>
      </c>
      <c r="CJ239" s="83" t="s">
        <v>2726</v>
      </c>
      <c r="CK239" s="144">
        <v>0</v>
      </c>
      <c r="CL239"/>
    </row>
    <row r="240" spans="1:90">
      <c r="A240" s="83" t="s">
        <v>1560</v>
      </c>
      <c r="B240" s="83" t="s">
        <v>1645</v>
      </c>
      <c r="D240" s="83" t="s">
        <v>717</v>
      </c>
      <c r="E240" s="83" t="s">
        <v>894</v>
      </c>
      <c r="F240" s="83" t="s">
        <v>1747</v>
      </c>
      <c r="G240" s="83" t="s">
        <v>1865</v>
      </c>
      <c r="H240" s="83" t="s">
        <v>1201</v>
      </c>
      <c r="I240" s="83" t="s">
        <v>1202</v>
      </c>
      <c r="J240" s="83" t="s">
        <v>1203</v>
      </c>
      <c r="K240" s="83" t="s">
        <v>565</v>
      </c>
      <c r="L240" s="83" t="s">
        <v>398</v>
      </c>
      <c r="M240" s="83" t="s">
        <v>399</v>
      </c>
      <c r="N240" s="83" t="s">
        <v>2743</v>
      </c>
      <c r="O240" s="83" t="s">
        <v>106</v>
      </c>
      <c r="P240" s="83">
        <v>4</v>
      </c>
      <c r="Q240" s="83" t="s">
        <v>106</v>
      </c>
      <c r="R240" s="83" t="s">
        <v>2691</v>
      </c>
      <c r="S240" s="83" t="s">
        <v>2720</v>
      </c>
      <c r="T240" s="83" t="s">
        <v>2703</v>
      </c>
      <c r="U240" s="83" t="s">
        <v>401</v>
      </c>
      <c r="AC240" s="83" t="s">
        <v>401</v>
      </c>
      <c r="AD240" s="83">
        <v>94000</v>
      </c>
      <c r="AF240" s="83">
        <v>0</v>
      </c>
      <c r="AJ240" s="83">
        <v>1</v>
      </c>
      <c r="AK240" s="83">
        <v>1</v>
      </c>
      <c r="AL240" s="83">
        <v>792</v>
      </c>
      <c r="AM240" s="83" t="s">
        <v>2693</v>
      </c>
      <c r="BK240" s="83" t="s">
        <v>2694</v>
      </c>
      <c r="BL240" s="83" t="s">
        <v>2704</v>
      </c>
      <c r="BM240" s="83" t="s">
        <v>2698</v>
      </c>
      <c r="BN240" s="83" t="s">
        <v>2699</v>
      </c>
      <c r="BO240" s="83" t="s">
        <v>2697</v>
      </c>
      <c r="BP240" s="83" t="s">
        <v>2698</v>
      </c>
      <c r="BQ240" s="83" t="s">
        <v>2693</v>
      </c>
      <c r="BR240" s="83" t="s">
        <v>2693</v>
      </c>
      <c r="BS240" s="83" t="s">
        <v>2699</v>
      </c>
      <c r="BT240" s="83">
        <v>0</v>
      </c>
      <c r="BU240" s="83" t="s">
        <v>2699</v>
      </c>
      <c r="BV240" s="83" t="s">
        <v>2699</v>
      </c>
      <c r="BW240" s="83" t="s">
        <v>2699</v>
      </c>
      <c r="BX240" s="83" t="s">
        <v>2696</v>
      </c>
      <c r="BY240" s="83" t="s">
        <v>2699</v>
      </c>
      <c r="BZ240" s="83" t="s">
        <v>2693</v>
      </c>
      <c r="CA240" s="83" t="s">
        <v>2693</v>
      </c>
      <c r="CB240" s="83">
        <v>9</v>
      </c>
      <c r="CC240" s="83" t="s">
        <v>2699</v>
      </c>
      <c r="CD240" s="83" t="s">
        <v>2696</v>
      </c>
      <c r="CF240" s="83" t="s">
        <v>2059</v>
      </c>
      <c r="CG240" s="83" t="s">
        <v>2060</v>
      </c>
      <c r="CH240" s="83" t="s">
        <v>2693</v>
      </c>
      <c r="CI240" s="83" t="s">
        <v>2693</v>
      </c>
      <c r="CJ240" s="83" t="s">
        <v>2701</v>
      </c>
      <c r="CK240" s="144">
        <v>0</v>
      </c>
      <c r="CL240"/>
    </row>
    <row r="241" spans="1:90">
      <c r="A241" s="83" t="s">
        <v>2652</v>
      </c>
      <c r="B241" s="83" t="s">
        <v>988</v>
      </c>
      <c r="D241" s="83" t="s">
        <v>714</v>
      </c>
      <c r="F241" s="83" t="s">
        <v>3090</v>
      </c>
      <c r="G241" s="83" t="s">
        <v>2298</v>
      </c>
      <c r="H241" s="83" t="s">
        <v>1201</v>
      </c>
      <c r="I241" s="83" t="s">
        <v>1202</v>
      </c>
      <c r="J241" s="83" t="s">
        <v>1203</v>
      </c>
      <c r="K241" s="83" t="s">
        <v>565</v>
      </c>
      <c r="L241" s="83" t="s">
        <v>398</v>
      </c>
      <c r="M241" s="83" t="s">
        <v>399</v>
      </c>
      <c r="N241" s="83" t="s">
        <v>3228</v>
      </c>
      <c r="O241" s="83" t="s">
        <v>106</v>
      </c>
      <c r="P241" s="83">
        <v>4</v>
      </c>
      <c r="Q241" s="83" t="s">
        <v>106</v>
      </c>
      <c r="R241" s="83" t="s">
        <v>2730</v>
      </c>
      <c r="S241" s="83" t="s">
        <v>2712</v>
      </c>
      <c r="T241" s="83" t="s">
        <v>2843</v>
      </c>
      <c r="U241" s="83" t="s">
        <v>401</v>
      </c>
      <c r="AC241" s="83" t="s">
        <v>401</v>
      </c>
      <c r="AJ241" s="83">
        <v>1</v>
      </c>
      <c r="AK241" s="83">
        <v>1</v>
      </c>
      <c r="AM241" s="83" t="s">
        <v>2693</v>
      </c>
      <c r="BK241" s="83" t="s">
        <v>2694</v>
      </c>
      <c r="BL241" s="83" t="s">
        <v>2693</v>
      </c>
      <c r="BM241" s="83" t="s">
        <v>2698</v>
      </c>
      <c r="BN241" s="83" t="s">
        <v>2698</v>
      </c>
      <c r="BO241" s="83" t="s">
        <v>2697</v>
      </c>
      <c r="BP241" s="83" t="s">
        <v>2698</v>
      </c>
      <c r="BQ241" s="83" t="s">
        <v>2699</v>
      </c>
      <c r="BR241" s="83" t="s">
        <v>2693</v>
      </c>
      <c r="BS241" s="83" t="s">
        <v>2699</v>
      </c>
      <c r="BT241" s="83" t="s">
        <v>2696</v>
      </c>
      <c r="BU241" s="83" t="s">
        <v>2699</v>
      </c>
      <c r="BV241" s="83" t="s">
        <v>2696</v>
      </c>
      <c r="BW241" s="83" t="s">
        <v>2698</v>
      </c>
      <c r="BX241" s="83" t="s">
        <v>2696</v>
      </c>
      <c r="BY241" s="83" t="s">
        <v>2699</v>
      </c>
      <c r="BZ241" s="83" t="s">
        <v>2693</v>
      </c>
      <c r="CA241" s="83" t="s">
        <v>2693</v>
      </c>
      <c r="CB241" s="83" t="s">
        <v>2694</v>
      </c>
      <c r="CC241" s="83" t="s">
        <v>2699</v>
      </c>
      <c r="CD241" s="83" t="s">
        <v>2696</v>
      </c>
      <c r="CF241" s="83" t="s">
        <v>3900</v>
      </c>
      <c r="CG241" s="83" t="s">
        <v>3901</v>
      </c>
      <c r="CH241" s="83" t="s">
        <v>2693</v>
      </c>
      <c r="CI241" s="83" t="s">
        <v>3992</v>
      </c>
      <c r="CJ241" s="83" t="s">
        <v>2701</v>
      </c>
      <c r="CK241" s="144">
        <v>0</v>
      </c>
      <c r="CL241"/>
    </row>
    <row r="242" spans="1:90">
      <c r="A242" s="79" t="s">
        <v>2652</v>
      </c>
      <c r="B242" s="79" t="s">
        <v>3241</v>
      </c>
      <c r="C242" s="79"/>
      <c r="D242" s="79" t="s">
        <v>688</v>
      </c>
      <c r="E242" s="79" t="s">
        <v>689</v>
      </c>
      <c r="F242" s="79">
        <v>10980</v>
      </c>
      <c r="G242" s="79" t="s">
        <v>1192</v>
      </c>
      <c r="H242" s="79" t="s">
        <v>1201</v>
      </c>
      <c r="I242" s="79" t="s">
        <v>1202</v>
      </c>
      <c r="J242" s="79" t="s">
        <v>1203</v>
      </c>
      <c r="K242" s="79" t="s">
        <v>565</v>
      </c>
      <c r="L242" s="79" t="s">
        <v>398</v>
      </c>
      <c r="M242" s="79" t="s">
        <v>399</v>
      </c>
      <c r="N242" s="79" t="s">
        <v>3228</v>
      </c>
      <c r="O242" s="79" t="s">
        <v>106</v>
      </c>
      <c r="P242" s="79">
        <v>4</v>
      </c>
      <c r="Q242" s="79" t="s">
        <v>106</v>
      </c>
      <c r="R242" s="79">
        <v>8</v>
      </c>
      <c r="S242" s="90">
        <v>29568</v>
      </c>
      <c r="T242" s="79" t="s">
        <v>2703</v>
      </c>
      <c r="U242" s="79" t="s">
        <v>401</v>
      </c>
      <c r="AC242" s="79" t="s">
        <v>401</v>
      </c>
      <c r="AD242" s="79">
        <v>128000</v>
      </c>
      <c r="AE242" s="79"/>
      <c r="AF242" s="79">
        <v>11000</v>
      </c>
      <c r="AG242" s="79"/>
      <c r="AH242" s="79"/>
      <c r="AI242" s="79"/>
      <c r="AJ242" s="79">
        <v>1</v>
      </c>
      <c r="AK242" s="83">
        <v>1</v>
      </c>
      <c r="AL242" s="79">
        <v>1024</v>
      </c>
      <c r="AM242" s="79" t="s">
        <v>2693</v>
      </c>
      <c r="AN242" s="79"/>
      <c r="AO242" s="79"/>
      <c r="AP242" s="79"/>
      <c r="AQ242" s="79"/>
      <c r="AR242" s="79"/>
      <c r="AS242" s="79"/>
      <c r="AT242" s="79"/>
      <c r="AU242" s="79"/>
      <c r="AV242" s="79"/>
      <c r="AW242" s="79"/>
      <c r="AX242" s="79"/>
      <c r="AY242" s="79"/>
      <c r="AZ242" s="79"/>
      <c r="BA242" s="79"/>
      <c r="BB242" s="79"/>
      <c r="BC242" s="79"/>
      <c r="BD242" s="79"/>
      <c r="BE242" s="79"/>
      <c r="BF242" s="79"/>
      <c r="BG242" s="79"/>
      <c r="BH242" s="79"/>
      <c r="BI242" s="79"/>
      <c r="BJ242" s="79"/>
      <c r="BK242" s="79">
        <v>9</v>
      </c>
      <c r="BL242" s="79">
        <v>2</v>
      </c>
      <c r="BM242" s="79">
        <v>5</v>
      </c>
      <c r="BN242" s="79">
        <v>5</v>
      </c>
      <c r="BO242" s="79">
        <v>2</v>
      </c>
      <c r="BP242" s="79">
        <v>5</v>
      </c>
      <c r="BQ242" s="79">
        <v>1</v>
      </c>
      <c r="BR242" s="79">
        <v>2</v>
      </c>
      <c r="BS242" s="79">
        <v>1</v>
      </c>
      <c r="BT242" s="79">
        <v>0</v>
      </c>
      <c r="BU242" s="79">
        <v>1</v>
      </c>
      <c r="BV242" s="79">
        <v>0</v>
      </c>
      <c r="BW242" s="79">
        <v>5</v>
      </c>
      <c r="BX242" s="83">
        <v>0</v>
      </c>
      <c r="BY242" s="79">
        <v>1</v>
      </c>
      <c r="BZ242" s="79">
        <v>0</v>
      </c>
      <c r="CA242" s="79">
        <v>1</v>
      </c>
      <c r="CB242" s="79">
        <v>9</v>
      </c>
      <c r="CC242" s="79">
        <v>1</v>
      </c>
      <c r="CD242" s="79">
        <v>0</v>
      </c>
      <c r="CE242" s="79"/>
      <c r="CF242" s="79" t="s">
        <v>3900</v>
      </c>
      <c r="CG242" s="79" t="s">
        <v>3901</v>
      </c>
      <c r="CH242" s="79" t="s">
        <v>2693</v>
      </c>
      <c r="CI242" s="83" t="s">
        <v>3992</v>
      </c>
      <c r="CJ242" s="83" t="s">
        <v>2701</v>
      </c>
      <c r="CK242" s="145"/>
      <c r="CL242"/>
    </row>
    <row r="243" spans="1:90">
      <c r="A243" s="83" t="s">
        <v>1209</v>
      </c>
      <c r="B243" s="83" t="s">
        <v>1239</v>
      </c>
      <c r="D243" s="83" t="s">
        <v>688</v>
      </c>
      <c r="E243" s="83" t="s">
        <v>1262</v>
      </c>
      <c r="F243" s="83" t="s">
        <v>1293</v>
      </c>
      <c r="G243" s="83" t="s">
        <v>1294</v>
      </c>
      <c r="H243" s="83" t="s">
        <v>1201</v>
      </c>
      <c r="I243" s="83" t="s">
        <v>1202</v>
      </c>
      <c r="J243" s="83" t="s">
        <v>1203</v>
      </c>
      <c r="K243" s="83" t="s">
        <v>565</v>
      </c>
      <c r="L243" s="83" t="s">
        <v>398</v>
      </c>
      <c r="M243" s="83" t="s">
        <v>399</v>
      </c>
      <c r="N243" s="83" t="s">
        <v>2752</v>
      </c>
      <c r="O243" s="83" t="s">
        <v>106</v>
      </c>
      <c r="P243" s="83">
        <v>7</v>
      </c>
      <c r="Q243" s="83" t="s">
        <v>106</v>
      </c>
      <c r="R243" s="83" t="s">
        <v>2691</v>
      </c>
      <c r="S243" s="83" t="s">
        <v>1447</v>
      </c>
      <c r="T243" s="83" t="s">
        <v>2703</v>
      </c>
      <c r="U243" s="83" t="s">
        <v>401</v>
      </c>
      <c r="AC243" s="83" t="s">
        <v>401</v>
      </c>
      <c r="AD243" s="83">
        <v>102421000</v>
      </c>
      <c r="AF243" s="83">
        <v>2610000</v>
      </c>
      <c r="AJ243" s="83">
        <v>1</v>
      </c>
      <c r="AK243" s="83">
        <v>2</v>
      </c>
      <c r="AL243" s="83">
        <v>176132</v>
      </c>
      <c r="AM243" s="83" t="s">
        <v>2693</v>
      </c>
      <c r="BK243" s="83" t="s">
        <v>2694</v>
      </c>
      <c r="BL243" s="83" t="s">
        <v>2695</v>
      </c>
      <c r="BM243" s="83" t="s">
        <v>2693</v>
      </c>
      <c r="BN243" s="83" t="s">
        <v>2698</v>
      </c>
      <c r="BO243" s="83" t="s">
        <v>2693</v>
      </c>
      <c r="BP243" s="83" t="s">
        <v>2697</v>
      </c>
      <c r="BQ243" s="83" t="s">
        <v>2699</v>
      </c>
      <c r="BR243" s="83" t="s">
        <v>2693</v>
      </c>
      <c r="BS243" s="83" t="s">
        <v>2699</v>
      </c>
      <c r="BT243" s="83" t="s">
        <v>2696</v>
      </c>
      <c r="BU243" s="83" t="s">
        <v>2695</v>
      </c>
      <c r="BV243" s="83" t="s">
        <v>2699</v>
      </c>
      <c r="BW243" s="83" t="s">
        <v>2698</v>
      </c>
      <c r="BX243" s="83" t="s">
        <v>2696</v>
      </c>
      <c r="BY243" s="83" t="s">
        <v>2699</v>
      </c>
      <c r="BZ243" s="83" t="s">
        <v>2693</v>
      </c>
      <c r="CA243" s="83" t="s">
        <v>2696</v>
      </c>
      <c r="CB243" s="83">
        <v>3</v>
      </c>
      <c r="CC243" s="83" t="s">
        <v>2696</v>
      </c>
      <c r="CD243" s="83" t="s">
        <v>2699</v>
      </c>
      <c r="CF243" s="83" t="s">
        <v>1352</v>
      </c>
      <c r="CG243" s="83" t="s">
        <v>1353</v>
      </c>
      <c r="CH243" s="83" t="s">
        <v>2698</v>
      </c>
      <c r="CI243" s="83" t="s">
        <v>2009</v>
      </c>
      <c r="CJ243" s="83">
        <v>135</v>
      </c>
      <c r="CK243" s="144">
        <v>0</v>
      </c>
      <c r="CL243" s="99">
        <v>42000</v>
      </c>
    </row>
    <row r="244" spans="1:90">
      <c r="A244" s="83" t="s">
        <v>1209</v>
      </c>
      <c r="B244" s="83" t="s">
        <v>1239</v>
      </c>
      <c r="D244" s="83" t="s">
        <v>673</v>
      </c>
      <c r="E244" s="83" t="s">
        <v>1263</v>
      </c>
      <c r="F244" s="83" t="s">
        <v>1293</v>
      </c>
      <c r="G244" s="83" t="s">
        <v>1294</v>
      </c>
      <c r="H244" s="83" t="s">
        <v>1201</v>
      </c>
      <c r="I244" s="83" t="s">
        <v>1202</v>
      </c>
      <c r="J244" s="83" t="s">
        <v>1203</v>
      </c>
      <c r="K244" s="83" t="s">
        <v>565</v>
      </c>
      <c r="L244" s="83" t="s">
        <v>398</v>
      </c>
      <c r="M244" s="83" t="s">
        <v>399</v>
      </c>
      <c r="N244" s="83" t="s">
        <v>2752</v>
      </c>
      <c r="O244" s="83" t="s">
        <v>106</v>
      </c>
      <c r="P244" s="83">
        <v>1</v>
      </c>
      <c r="Q244" s="83" t="s">
        <v>106</v>
      </c>
      <c r="R244" s="83" t="s">
        <v>2691</v>
      </c>
      <c r="S244" s="83" t="s">
        <v>3716</v>
      </c>
      <c r="T244" s="83" t="s">
        <v>1468</v>
      </c>
      <c r="U244" s="83" t="s">
        <v>401</v>
      </c>
      <c r="AC244" s="83" t="s">
        <v>401</v>
      </c>
      <c r="AD244" s="83">
        <v>0</v>
      </c>
      <c r="AF244" s="83">
        <v>1840000</v>
      </c>
      <c r="AJ244" s="83">
        <v>1</v>
      </c>
      <c r="AK244" s="83">
        <v>0</v>
      </c>
      <c r="AL244" s="83">
        <v>0</v>
      </c>
      <c r="AM244" s="83" t="s">
        <v>2693</v>
      </c>
      <c r="BK244" s="83" t="s">
        <v>2696</v>
      </c>
      <c r="BL244" s="83" t="s">
        <v>2696</v>
      </c>
      <c r="BM244" s="83" t="s">
        <v>2696</v>
      </c>
      <c r="BN244" s="83" t="s">
        <v>2696</v>
      </c>
      <c r="BO244" s="83" t="s">
        <v>2696</v>
      </c>
      <c r="BP244" s="83" t="s">
        <v>2696</v>
      </c>
      <c r="BQ244" s="83" t="s">
        <v>2696</v>
      </c>
      <c r="BR244" s="83" t="s">
        <v>2696</v>
      </c>
      <c r="BS244" s="83" t="s">
        <v>2696</v>
      </c>
      <c r="BT244" s="83" t="s">
        <v>2696</v>
      </c>
      <c r="BU244" s="83">
        <v>1</v>
      </c>
      <c r="BV244" s="83" t="s">
        <v>2696</v>
      </c>
      <c r="BW244" s="83" t="s">
        <v>2696</v>
      </c>
      <c r="BX244" s="83" t="s">
        <v>2696</v>
      </c>
      <c r="BY244" s="83" t="s">
        <v>2696</v>
      </c>
      <c r="BZ244" s="83" t="s">
        <v>2696</v>
      </c>
      <c r="CA244" s="83" t="s">
        <v>2696</v>
      </c>
      <c r="CB244" s="83">
        <v>9</v>
      </c>
      <c r="CC244" s="83" t="s">
        <v>2696</v>
      </c>
      <c r="CD244" s="83" t="s">
        <v>2696</v>
      </c>
      <c r="CF244" s="83" t="s">
        <v>1354</v>
      </c>
      <c r="CG244" s="83" t="s">
        <v>1355</v>
      </c>
      <c r="CH244" s="83" t="s">
        <v>2699</v>
      </c>
      <c r="CI244" s="79">
        <v>1</v>
      </c>
      <c r="CJ244" s="83" t="s">
        <v>2734</v>
      </c>
      <c r="CK244" s="144">
        <v>0</v>
      </c>
      <c r="CL244"/>
    </row>
    <row r="245" spans="1:90">
      <c r="A245" s="83" t="s">
        <v>1210</v>
      </c>
      <c r="B245" s="83" t="s">
        <v>684</v>
      </c>
      <c r="D245" s="83" t="s">
        <v>688</v>
      </c>
      <c r="E245" s="83" t="s">
        <v>684</v>
      </c>
      <c r="F245" s="83" t="s">
        <v>1295</v>
      </c>
      <c r="G245" s="83" t="s">
        <v>1296</v>
      </c>
      <c r="H245" s="83" t="s">
        <v>1201</v>
      </c>
      <c r="I245" s="83" t="s">
        <v>1202</v>
      </c>
      <c r="J245" s="83" t="s">
        <v>1203</v>
      </c>
      <c r="K245" s="83" t="s">
        <v>565</v>
      </c>
      <c r="L245" s="83" t="s">
        <v>398</v>
      </c>
      <c r="M245" s="83" t="s">
        <v>399</v>
      </c>
      <c r="N245" s="83" t="s">
        <v>2705</v>
      </c>
      <c r="O245" s="83" t="s">
        <v>106</v>
      </c>
      <c r="P245" s="83">
        <v>7</v>
      </c>
      <c r="Q245" s="83" t="s">
        <v>106</v>
      </c>
      <c r="R245" s="83" t="s">
        <v>2691</v>
      </c>
      <c r="S245" s="83" t="s">
        <v>1448</v>
      </c>
      <c r="T245" s="83" t="s">
        <v>1468</v>
      </c>
      <c r="U245" s="83" t="s">
        <v>401</v>
      </c>
      <c r="AC245" s="83" t="s">
        <v>401</v>
      </c>
      <c r="AD245" s="83">
        <v>70358000</v>
      </c>
      <c r="AF245" s="83">
        <v>3386000</v>
      </c>
      <c r="AJ245" s="83">
        <v>1</v>
      </c>
      <c r="AK245" s="83">
        <v>2</v>
      </c>
      <c r="AL245" s="83">
        <v>228506</v>
      </c>
      <c r="AM245" s="83" t="s">
        <v>2693</v>
      </c>
      <c r="BK245" s="83" t="s">
        <v>2694</v>
      </c>
      <c r="BL245" s="83" t="s">
        <v>2697</v>
      </c>
      <c r="BM245" s="83" t="s">
        <v>2699</v>
      </c>
      <c r="BN245" s="83" t="s">
        <v>2698</v>
      </c>
      <c r="BO245" s="83" t="s">
        <v>2699</v>
      </c>
      <c r="BP245" s="83" t="s">
        <v>2697</v>
      </c>
      <c r="BQ245" s="83" t="s">
        <v>2699</v>
      </c>
      <c r="BR245" s="83" t="s">
        <v>2693</v>
      </c>
      <c r="BS245" s="83" t="s">
        <v>2699</v>
      </c>
      <c r="BT245" s="83" t="s">
        <v>2696</v>
      </c>
      <c r="BU245" s="83" t="s">
        <v>2699</v>
      </c>
      <c r="BV245" s="83" t="s">
        <v>2699</v>
      </c>
      <c r="BW245" s="83" t="s">
        <v>2695</v>
      </c>
      <c r="BX245" s="83" t="s">
        <v>2696</v>
      </c>
      <c r="BY245" s="83" t="s">
        <v>2699</v>
      </c>
      <c r="BZ245" s="83" t="s">
        <v>2693</v>
      </c>
      <c r="CA245" s="83" t="s">
        <v>2693</v>
      </c>
      <c r="CB245" s="83">
        <v>3</v>
      </c>
      <c r="CC245" s="83" t="s">
        <v>2696</v>
      </c>
      <c r="CD245" s="83" t="s">
        <v>2699</v>
      </c>
      <c r="CF245" s="83" t="s">
        <v>1356</v>
      </c>
      <c r="CG245" s="83" t="s">
        <v>1357</v>
      </c>
      <c r="CH245" s="83" t="s">
        <v>2698</v>
      </c>
      <c r="CI245" s="83" t="s">
        <v>2009</v>
      </c>
      <c r="CJ245" s="83">
        <v>135</v>
      </c>
      <c r="CK245" s="144">
        <v>3</v>
      </c>
      <c r="CL245" s="99">
        <v>107000</v>
      </c>
    </row>
    <row r="246" spans="1:90">
      <c r="A246" s="83" t="s">
        <v>2685</v>
      </c>
      <c r="B246" s="83" t="s">
        <v>3714</v>
      </c>
      <c r="D246" s="83" t="s">
        <v>688</v>
      </c>
      <c r="E246" s="83" t="s">
        <v>3714</v>
      </c>
      <c r="F246" s="83" t="s">
        <v>1707</v>
      </c>
      <c r="G246" s="83" t="s">
        <v>2462</v>
      </c>
      <c r="H246" s="83" t="s">
        <v>1201</v>
      </c>
      <c r="I246" s="83" t="s">
        <v>1202</v>
      </c>
      <c r="J246" s="83" t="s">
        <v>1203</v>
      </c>
      <c r="K246" s="83" t="s">
        <v>565</v>
      </c>
      <c r="L246" s="83" t="s">
        <v>398</v>
      </c>
      <c r="M246" s="83" t="s">
        <v>399</v>
      </c>
      <c r="N246" s="83" t="s">
        <v>3699</v>
      </c>
      <c r="O246" s="83" t="s">
        <v>106</v>
      </c>
      <c r="P246" s="83">
        <v>4</v>
      </c>
      <c r="Q246" s="83" t="s">
        <v>106</v>
      </c>
      <c r="R246" s="83" t="s">
        <v>2727</v>
      </c>
      <c r="S246" s="83" t="s">
        <v>2712</v>
      </c>
      <c r="T246" s="83" t="s">
        <v>2703</v>
      </c>
      <c r="U246" s="83" t="s">
        <v>401</v>
      </c>
      <c r="AC246" s="83" t="s">
        <v>401</v>
      </c>
      <c r="AD246" s="83">
        <v>88000</v>
      </c>
      <c r="AF246" s="83">
        <v>6000</v>
      </c>
      <c r="AJ246" s="83">
        <v>1</v>
      </c>
      <c r="AK246" s="83">
        <v>1</v>
      </c>
      <c r="AL246" s="83">
        <v>729</v>
      </c>
      <c r="AM246" s="83" t="s">
        <v>2693</v>
      </c>
      <c r="BK246" s="83" t="s">
        <v>2694</v>
      </c>
      <c r="BL246" s="83" t="s">
        <v>2704</v>
      </c>
      <c r="BM246" s="83" t="s">
        <v>2697</v>
      </c>
      <c r="BN246" s="83" t="s">
        <v>2696</v>
      </c>
      <c r="BO246" s="83" t="s">
        <v>2697</v>
      </c>
      <c r="BP246" s="83" t="s">
        <v>2698</v>
      </c>
      <c r="BQ246" s="83" t="s">
        <v>2699</v>
      </c>
      <c r="BR246" s="83" t="s">
        <v>2693</v>
      </c>
      <c r="BS246" s="83" t="s">
        <v>2699</v>
      </c>
      <c r="BT246" s="83" t="s">
        <v>2696</v>
      </c>
      <c r="BU246" s="83">
        <v>1</v>
      </c>
      <c r="BV246" s="83" t="s">
        <v>2696</v>
      </c>
      <c r="BW246" s="83" t="s">
        <v>2695</v>
      </c>
      <c r="BX246" s="83" t="s">
        <v>2696</v>
      </c>
      <c r="BY246" s="83" t="s">
        <v>2699</v>
      </c>
      <c r="BZ246" s="83" t="s">
        <v>2699</v>
      </c>
      <c r="CA246" s="83" t="s">
        <v>2699</v>
      </c>
      <c r="CB246" s="83">
        <v>9</v>
      </c>
      <c r="CC246" s="83" t="s">
        <v>2699</v>
      </c>
      <c r="CD246" s="83" t="s">
        <v>2696</v>
      </c>
      <c r="CF246" s="83" t="s">
        <v>2469</v>
      </c>
      <c r="CG246" s="83" t="s">
        <v>2470</v>
      </c>
      <c r="CH246" s="83" t="s">
        <v>2693</v>
      </c>
      <c r="CI246" s="83" t="s">
        <v>2076</v>
      </c>
      <c r="CJ246" s="83" t="s">
        <v>2701</v>
      </c>
      <c r="CK246" s="144">
        <v>1</v>
      </c>
      <c r="CL246"/>
    </row>
    <row r="247" spans="1:90">
      <c r="A247" s="83" t="s">
        <v>2686</v>
      </c>
      <c r="B247" s="83" t="s">
        <v>3715</v>
      </c>
      <c r="D247" s="83" t="s">
        <v>688</v>
      </c>
      <c r="E247" s="83" t="s">
        <v>3715</v>
      </c>
      <c r="F247" s="83" t="s">
        <v>1707</v>
      </c>
      <c r="G247" s="83" t="s">
        <v>2462</v>
      </c>
      <c r="H247" s="83" t="s">
        <v>1201</v>
      </c>
      <c r="I247" s="83" t="s">
        <v>1202</v>
      </c>
      <c r="J247" s="83" t="s">
        <v>1203</v>
      </c>
      <c r="K247" s="83" t="s">
        <v>565</v>
      </c>
      <c r="L247" s="83" t="s">
        <v>398</v>
      </c>
      <c r="M247" s="83" t="s">
        <v>399</v>
      </c>
      <c r="N247" s="83" t="s">
        <v>3699</v>
      </c>
      <c r="O247" s="83" t="s">
        <v>106</v>
      </c>
      <c r="P247" s="83">
        <v>4</v>
      </c>
      <c r="Q247" s="83" t="s">
        <v>106</v>
      </c>
      <c r="R247" s="83" t="s">
        <v>2727</v>
      </c>
      <c r="S247" s="83" t="s">
        <v>2712</v>
      </c>
      <c r="T247" s="83" t="s">
        <v>2703</v>
      </c>
      <c r="U247" s="83" t="s">
        <v>401</v>
      </c>
      <c r="AC247" s="83" t="s">
        <v>401</v>
      </c>
      <c r="AD247" s="83">
        <v>130000</v>
      </c>
      <c r="AF247" s="83">
        <v>3000</v>
      </c>
      <c r="AJ247" s="83">
        <v>1</v>
      </c>
      <c r="AK247" s="83">
        <v>1</v>
      </c>
      <c r="AL247" s="83">
        <v>1080</v>
      </c>
      <c r="AM247" s="83" t="s">
        <v>2693</v>
      </c>
      <c r="BK247" s="83" t="s">
        <v>2694</v>
      </c>
      <c r="BL247" s="83" t="s">
        <v>2704</v>
      </c>
      <c r="BM247" s="83" t="s">
        <v>2697</v>
      </c>
      <c r="BN247" s="83" t="s">
        <v>2696</v>
      </c>
      <c r="BO247" s="83" t="s">
        <v>2697</v>
      </c>
      <c r="BP247" s="83" t="s">
        <v>2698</v>
      </c>
      <c r="BQ247" s="83" t="s">
        <v>2699</v>
      </c>
      <c r="BR247" s="83" t="s">
        <v>2693</v>
      </c>
      <c r="BS247" s="83" t="s">
        <v>2699</v>
      </c>
      <c r="BT247" s="83" t="s">
        <v>2696</v>
      </c>
      <c r="BU247" s="83">
        <v>1</v>
      </c>
      <c r="BV247" s="83" t="s">
        <v>2696</v>
      </c>
      <c r="BW247" s="83" t="s">
        <v>2695</v>
      </c>
      <c r="BX247" s="83" t="s">
        <v>2696</v>
      </c>
      <c r="BY247" s="83" t="s">
        <v>2699</v>
      </c>
      <c r="BZ247" s="83" t="s">
        <v>2699</v>
      </c>
      <c r="CA247" s="83" t="s">
        <v>2699</v>
      </c>
      <c r="CB247" s="83">
        <v>9</v>
      </c>
      <c r="CC247" s="83" t="s">
        <v>2699</v>
      </c>
      <c r="CD247" s="83" t="s">
        <v>2696</v>
      </c>
      <c r="CF247" s="83" t="s">
        <v>2469</v>
      </c>
      <c r="CG247" s="83" t="s">
        <v>2470</v>
      </c>
      <c r="CH247" s="83" t="s">
        <v>2693</v>
      </c>
      <c r="CI247" s="83" t="s">
        <v>2076</v>
      </c>
      <c r="CJ247" s="83" t="s">
        <v>2701</v>
      </c>
      <c r="CK247" s="144">
        <v>0</v>
      </c>
      <c r="CL247"/>
    </row>
    <row r="248" spans="1:90">
      <c r="A248" s="83" t="s">
        <v>2547</v>
      </c>
      <c r="B248" s="83" t="s">
        <v>3019</v>
      </c>
      <c r="D248" s="83" t="s">
        <v>688</v>
      </c>
      <c r="E248" s="83" t="s">
        <v>2548</v>
      </c>
      <c r="F248" s="83" t="s">
        <v>3020</v>
      </c>
      <c r="G248" s="83" t="s">
        <v>2287</v>
      </c>
      <c r="H248" s="83" t="s">
        <v>1201</v>
      </c>
      <c r="I248" s="83" t="s">
        <v>1202</v>
      </c>
      <c r="J248" s="83" t="s">
        <v>1203</v>
      </c>
      <c r="K248" s="83" t="s">
        <v>565</v>
      </c>
      <c r="L248" s="83" t="s">
        <v>398</v>
      </c>
      <c r="M248" s="83" t="s">
        <v>399</v>
      </c>
      <c r="N248" s="83" t="s">
        <v>3001</v>
      </c>
      <c r="O248" s="83" t="s">
        <v>106</v>
      </c>
      <c r="P248" s="83">
        <v>4</v>
      </c>
      <c r="Q248" s="83" t="s">
        <v>106</v>
      </c>
      <c r="R248" s="83" t="s">
        <v>2727</v>
      </c>
      <c r="S248" s="83" t="s">
        <v>2712</v>
      </c>
      <c r="T248" s="83" t="s">
        <v>2843</v>
      </c>
      <c r="U248" s="83" t="s">
        <v>401</v>
      </c>
      <c r="AC248" s="83" t="s">
        <v>401</v>
      </c>
      <c r="AD248" s="83">
        <v>81000</v>
      </c>
      <c r="AF248" s="83">
        <v>1000</v>
      </c>
      <c r="AJ248" s="83">
        <v>1</v>
      </c>
      <c r="AK248" s="83">
        <v>1</v>
      </c>
      <c r="AL248" s="83">
        <v>576</v>
      </c>
      <c r="AM248" s="83" t="s">
        <v>2693</v>
      </c>
      <c r="BK248" s="83" t="s">
        <v>2694</v>
      </c>
      <c r="BL248" s="83" t="s">
        <v>2693</v>
      </c>
      <c r="BM248" s="83" t="s">
        <v>2697</v>
      </c>
      <c r="BN248" s="83" t="s">
        <v>2698</v>
      </c>
      <c r="BO248" s="83" t="s">
        <v>2697</v>
      </c>
      <c r="BP248" s="83" t="s">
        <v>2698</v>
      </c>
      <c r="BQ248" s="83" t="s">
        <v>2699</v>
      </c>
      <c r="BR248" s="83" t="s">
        <v>2693</v>
      </c>
      <c r="BS248" s="83" t="s">
        <v>2699</v>
      </c>
      <c r="BT248" s="83" t="s">
        <v>2696</v>
      </c>
      <c r="BU248" s="83" t="s">
        <v>2699</v>
      </c>
      <c r="BV248" s="83" t="s">
        <v>2696</v>
      </c>
      <c r="BW248" s="83" t="s">
        <v>2698</v>
      </c>
      <c r="BX248" s="83" t="s">
        <v>2696</v>
      </c>
      <c r="BY248" s="83" t="s">
        <v>2699</v>
      </c>
      <c r="BZ248" s="83" t="s">
        <v>2693</v>
      </c>
      <c r="CA248" s="83" t="s">
        <v>2693</v>
      </c>
      <c r="CB248" s="83" t="s">
        <v>2694</v>
      </c>
      <c r="CC248" s="83" t="s">
        <v>2699</v>
      </c>
      <c r="CD248" s="83" t="s">
        <v>2696</v>
      </c>
      <c r="CF248" s="83" t="s">
        <v>3021</v>
      </c>
      <c r="CG248" s="83" t="s">
        <v>3022</v>
      </c>
      <c r="CH248" s="83" t="s">
        <v>2693</v>
      </c>
      <c r="CI248" s="83" t="s">
        <v>3992</v>
      </c>
      <c r="CJ248" s="83" t="s">
        <v>2701</v>
      </c>
      <c r="CK248" s="144">
        <v>3</v>
      </c>
      <c r="CL248" s="99">
        <v>253000</v>
      </c>
    </row>
    <row r="249" spans="1:90">
      <c r="A249" s="79" t="s">
        <v>2608</v>
      </c>
      <c r="B249" s="79" t="s">
        <v>4143</v>
      </c>
      <c r="C249" s="79"/>
      <c r="D249" s="79" t="s">
        <v>688</v>
      </c>
      <c r="E249" s="79" t="s">
        <v>4144</v>
      </c>
      <c r="F249" s="79" t="s">
        <v>3151</v>
      </c>
      <c r="G249" s="79" t="s">
        <v>971</v>
      </c>
      <c r="H249" s="79" t="s">
        <v>1201</v>
      </c>
      <c r="I249" s="79" t="s">
        <v>1202</v>
      </c>
      <c r="J249" s="79" t="s">
        <v>1203</v>
      </c>
      <c r="K249" s="79" t="s">
        <v>565</v>
      </c>
      <c r="L249" s="79" t="s">
        <v>398</v>
      </c>
      <c r="M249" s="79" t="s">
        <v>399</v>
      </c>
      <c r="N249" s="79" t="s">
        <v>3152</v>
      </c>
      <c r="O249" s="79" t="s">
        <v>106</v>
      </c>
      <c r="P249" s="79">
        <v>1</v>
      </c>
      <c r="Q249" s="79" t="s">
        <v>106</v>
      </c>
      <c r="R249" s="79" t="s">
        <v>2727</v>
      </c>
      <c r="S249" s="79" t="s">
        <v>2714</v>
      </c>
      <c r="T249" s="79" t="s">
        <v>2843</v>
      </c>
      <c r="U249" s="79" t="s">
        <v>401</v>
      </c>
      <c r="AC249" s="79" t="s">
        <v>401</v>
      </c>
      <c r="AD249" s="79">
        <v>222000</v>
      </c>
      <c r="AE249" s="79"/>
      <c r="AF249" s="79">
        <v>0</v>
      </c>
      <c r="AG249" s="79"/>
      <c r="AH249" s="79"/>
      <c r="AI249" s="79"/>
      <c r="AJ249" s="79">
        <v>1</v>
      </c>
      <c r="AK249" s="79">
        <v>1</v>
      </c>
      <c r="AL249" s="79">
        <v>2628</v>
      </c>
      <c r="AM249" s="79" t="s">
        <v>2693</v>
      </c>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c r="BK249" s="79" t="s">
        <v>2694</v>
      </c>
      <c r="BL249" s="79" t="s">
        <v>2699</v>
      </c>
      <c r="BM249" s="79" t="s">
        <v>2698</v>
      </c>
      <c r="BN249" s="79" t="s">
        <v>2696</v>
      </c>
      <c r="BO249" s="79" t="s">
        <v>2697</v>
      </c>
      <c r="BP249" s="79" t="s">
        <v>2698</v>
      </c>
      <c r="BQ249" s="79" t="s">
        <v>2699</v>
      </c>
      <c r="BR249" s="79" t="s">
        <v>2693</v>
      </c>
      <c r="BS249" s="79" t="s">
        <v>2699</v>
      </c>
      <c r="BT249" s="79" t="s">
        <v>2696</v>
      </c>
      <c r="BU249" s="79" t="s">
        <v>2699</v>
      </c>
      <c r="BV249" s="79" t="s">
        <v>2696</v>
      </c>
      <c r="BW249" s="79" t="s">
        <v>2697</v>
      </c>
      <c r="BX249" s="79" t="s">
        <v>2696</v>
      </c>
      <c r="BY249" s="79" t="s">
        <v>2699</v>
      </c>
      <c r="BZ249" s="79" t="s">
        <v>2693</v>
      </c>
      <c r="CA249" s="79" t="s">
        <v>2693</v>
      </c>
      <c r="CB249" s="79" t="s">
        <v>2694</v>
      </c>
      <c r="CC249" s="79" t="s">
        <v>2699</v>
      </c>
      <c r="CD249" s="79" t="s">
        <v>2696</v>
      </c>
      <c r="CE249" s="79"/>
      <c r="CF249" s="81" t="s">
        <v>4141</v>
      </c>
      <c r="CG249" s="81" t="s">
        <v>4142</v>
      </c>
      <c r="CH249" s="79" t="s">
        <v>2699</v>
      </c>
      <c r="CI249" s="79">
        <v>1</v>
      </c>
      <c r="CJ249" s="79" t="s">
        <v>2734</v>
      </c>
      <c r="CK249" s="145"/>
      <c r="CL249" s="99">
        <v>329000</v>
      </c>
    </row>
    <row r="250" spans="1:90">
      <c r="A250" s="83" t="s">
        <v>1561</v>
      </c>
      <c r="B250" s="83" t="s">
        <v>1646</v>
      </c>
      <c r="D250" s="83" t="s">
        <v>688</v>
      </c>
      <c r="E250" s="83" t="s">
        <v>1646</v>
      </c>
      <c r="F250" s="83" t="s">
        <v>1748</v>
      </c>
      <c r="G250" s="83" t="s">
        <v>671</v>
      </c>
      <c r="H250" s="83" t="s">
        <v>1201</v>
      </c>
      <c r="I250" s="83" t="s">
        <v>1202</v>
      </c>
      <c r="J250" s="83" t="s">
        <v>1203</v>
      </c>
      <c r="K250" s="83" t="s">
        <v>565</v>
      </c>
      <c r="L250" s="83" t="s">
        <v>398</v>
      </c>
      <c r="M250" s="83" t="s">
        <v>399</v>
      </c>
      <c r="N250" s="83" t="s">
        <v>2792</v>
      </c>
      <c r="O250" s="83" t="s">
        <v>106</v>
      </c>
      <c r="P250" s="83">
        <v>4</v>
      </c>
      <c r="Q250" s="83" t="s">
        <v>106</v>
      </c>
      <c r="R250" s="83" t="s">
        <v>2799</v>
      </c>
      <c r="S250" s="83" t="s">
        <v>2729</v>
      </c>
      <c r="T250" s="83" t="s">
        <v>1463</v>
      </c>
      <c r="U250" s="83" t="s">
        <v>401</v>
      </c>
      <c r="AC250" s="83" t="s">
        <v>401</v>
      </c>
      <c r="AD250" s="83">
        <v>938000</v>
      </c>
      <c r="AF250" s="83">
        <v>0</v>
      </c>
      <c r="AJ250" s="83">
        <v>1</v>
      </c>
      <c r="AK250" s="83">
        <v>1</v>
      </c>
      <c r="AL250" s="83">
        <v>9136</v>
      </c>
      <c r="AM250" s="83" t="s">
        <v>2693</v>
      </c>
      <c r="BK250" s="83" t="s">
        <v>2694</v>
      </c>
      <c r="BL250" s="83" t="s">
        <v>2704</v>
      </c>
      <c r="BM250" s="83" t="s">
        <v>2698</v>
      </c>
      <c r="BN250" s="83" t="s">
        <v>2697</v>
      </c>
      <c r="BO250" s="83" t="s">
        <v>2695</v>
      </c>
      <c r="BP250" s="83" t="s">
        <v>2695</v>
      </c>
      <c r="BQ250" s="83" t="s">
        <v>2696</v>
      </c>
      <c r="BR250" s="83" t="s">
        <v>2693</v>
      </c>
      <c r="BS250" s="83" t="s">
        <v>2699</v>
      </c>
      <c r="BT250" s="83">
        <v>0</v>
      </c>
      <c r="BU250" s="83" t="s">
        <v>2699</v>
      </c>
      <c r="BV250" s="83" t="s">
        <v>2696</v>
      </c>
      <c r="BW250" s="83" t="s">
        <v>2699</v>
      </c>
      <c r="BX250" s="83" t="s">
        <v>2696</v>
      </c>
      <c r="BY250" s="83" t="s">
        <v>2699</v>
      </c>
      <c r="BZ250" s="83" t="s">
        <v>2699</v>
      </c>
      <c r="CA250" s="83" t="s">
        <v>2693</v>
      </c>
      <c r="CB250" s="83">
        <v>9</v>
      </c>
      <c r="CC250" s="83" t="s">
        <v>2699</v>
      </c>
      <c r="CD250" s="83" t="s">
        <v>2696</v>
      </c>
      <c r="CF250" s="83" t="s">
        <v>2227</v>
      </c>
      <c r="CG250" s="83" t="s">
        <v>611</v>
      </c>
      <c r="CH250" s="83" t="s">
        <v>2693</v>
      </c>
      <c r="CI250" s="83" t="s">
        <v>2693</v>
      </c>
      <c r="CJ250" s="83" t="s">
        <v>2701</v>
      </c>
      <c r="CK250" s="144">
        <v>0</v>
      </c>
      <c r="CL250"/>
    </row>
    <row r="251" spans="1:90">
      <c r="A251" s="83" t="s">
        <v>1110</v>
      </c>
      <c r="B251" s="83" t="s">
        <v>2390</v>
      </c>
      <c r="D251" s="83" t="s">
        <v>688</v>
      </c>
      <c r="E251" s="83" t="s">
        <v>2390</v>
      </c>
      <c r="F251" s="83" t="s">
        <v>1803</v>
      </c>
      <c r="G251" s="83" t="s">
        <v>1163</v>
      </c>
      <c r="H251" s="83" t="s">
        <v>1201</v>
      </c>
      <c r="I251" s="83" t="s">
        <v>1202</v>
      </c>
      <c r="J251" s="83" t="s">
        <v>1203</v>
      </c>
      <c r="K251" s="83" t="s">
        <v>565</v>
      </c>
      <c r="L251" s="83" t="s">
        <v>398</v>
      </c>
      <c r="M251" s="83" t="s">
        <v>399</v>
      </c>
      <c r="N251" s="83" t="s">
        <v>2752</v>
      </c>
      <c r="O251" s="83" t="s">
        <v>106</v>
      </c>
      <c r="P251" s="83">
        <v>8</v>
      </c>
      <c r="Q251" s="83" t="s">
        <v>106</v>
      </c>
      <c r="R251" s="83" t="s">
        <v>2753</v>
      </c>
      <c r="S251" s="83" t="s">
        <v>1466</v>
      </c>
      <c r="T251" s="83" t="s">
        <v>2703</v>
      </c>
      <c r="U251" s="83" t="s">
        <v>401</v>
      </c>
      <c r="AC251" s="83" t="s">
        <v>401</v>
      </c>
      <c r="AD251" s="83">
        <v>1159000</v>
      </c>
      <c r="AF251" s="83">
        <v>80000</v>
      </c>
      <c r="AJ251" s="83">
        <v>1</v>
      </c>
      <c r="AK251" s="83">
        <v>1</v>
      </c>
      <c r="AL251" s="83">
        <v>9552</v>
      </c>
      <c r="AM251" s="83" t="s">
        <v>2693</v>
      </c>
      <c r="BK251" s="83" t="s">
        <v>2694</v>
      </c>
      <c r="BL251" s="83" t="s">
        <v>2693</v>
      </c>
      <c r="BM251" s="83" t="s">
        <v>2697</v>
      </c>
      <c r="BN251" s="83" t="s">
        <v>2698</v>
      </c>
      <c r="BO251" s="83" t="s">
        <v>2697</v>
      </c>
      <c r="BP251" s="83" t="s">
        <v>2697</v>
      </c>
      <c r="BQ251" s="83" t="s">
        <v>2699</v>
      </c>
      <c r="BR251" s="83" t="s">
        <v>2693</v>
      </c>
      <c r="BS251" s="83" t="s">
        <v>2699</v>
      </c>
      <c r="BT251" s="83" t="s">
        <v>2696</v>
      </c>
      <c r="BU251" s="83" t="s">
        <v>2699</v>
      </c>
      <c r="BV251" s="83" t="s">
        <v>2699</v>
      </c>
      <c r="BW251" s="83" t="s">
        <v>2698</v>
      </c>
      <c r="BX251" s="83" t="s">
        <v>2696</v>
      </c>
      <c r="BY251" s="83" t="s">
        <v>2699</v>
      </c>
      <c r="BZ251" s="83" t="s">
        <v>2699</v>
      </c>
      <c r="CA251" s="83" t="s">
        <v>2693</v>
      </c>
      <c r="CB251" s="83" t="s">
        <v>2696</v>
      </c>
      <c r="CC251" s="83" t="s">
        <v>2699</v>
      </c>
      <c r="CD251" s="83" t="s">
        <v>2696</v>
      </c>
      <c r="CF251" s="83" t="s">
        <v>695</v>
      </c>
      <c r="CG251" s="83" t="s">
        <v>696</v>
      </c>
      <c r="CH251" s="83" t="s">
        <v>2695</v>
      </c>
      <c r="CI251" s="83" t="s">
        <v>648</v>
      </c>
      <c r="CJ251" s="83" t="s">
        <v>2780</v>
      </c>
      <c r="CK251" s="144">
        <v>0</v>
      </c>
      <c r="CL251" s="99">
        <v>110000</v>
      </c>
    </row>
    <row r="252" spans="1:90">
      <c r="A252" s="83" t="s">
        <v>659</v>
      </c>
      <c r="B252" s="83" t="s">
        <v>2362</v>
      </c>
      <c r="D252" s="83" t="s">
        <v>688</v>
      </c>
      <c r="E252" s="83" t="s">
        <v>2362</v>
      </c>
      <c r="F252" s="83" t="s">
        <v>3401</v>
      </c>
      <c r="G252" s="83" t="s">
        <v>1164</v>
      </c>
      <c r="H252" s="83" t="s">
        <v>566</v>
      </c>
      <c r="I252" s="83" t="s">
        <v>567</v>
      </c>
      <c r="J252" s="83" t="s">
        <v>564</v>
      </c>
      <c r="K252" s="83" t="s">
        <v>565</v>
      </c>
      <c r="L252" s="83" t="s">
        <v>398</v>
      </c>
      <c r="M252" s="83" t="s">
        <v>399</v>
      </c>
      <c r="N252" s="83" t="s">
        <v>2899</v>
      </c>
      <c r="O252" s="83" t="s">
        <v>106</v>
      </c>
      <c r="P252" s="83">
        <v>4</v>
      </c>
      <c r="Q252" s="83" t="s">
        <v>106</v>
      </c>
      <c r="R252" s="83" t="s">
        <v>2753</v>
      </c>
      <c r="S252" s="83" t="s">
        <v>3402</v>
      </c>
      <c r="T252" s="83" t="s">
        <v>2703</v>
      </c>
      <c r="U252" s="83" t="s">
        <v>401</v>
      </c>
      <c r="AC252" s="83" t="s">
        <v>401</v>
      </c>
      <c r="AD252" s="83">
        <v>740000</v>
      </c>
      <c r="AF252" s="83">
        <v>52000</v>
      </c>
      <c r="AJ252" s="83">
        <v>1</v>
      </c>
      <c r="AK252" s="83">
        <v>2</v>
      </c>
      <c r="AL252" s="83">
        <v>6175</v>
      </c>
      <c r="AM252" s="83" t="s">
        <v>2693</v>
      </c>
      <c r="BK252" s="83" t="s">
        <v>2694</v>
      </c>
      <c r="BL252" s="83" t="s">
        <v>2704</v>
      </c>
      <c r="BM252" s="83" t="s">
        <v>2697</v>
      </c>
      <c r="BN252" s="83" t="s">
        <v>2698</v>
      </c>
      <c r="BO252" s="83" t="s">
        <v>2699</v>
      </c>
      <c r="BP252" s="83" t="s">
        <v>2695</v>
      </c>
      <c r="BQ252" s="83" t="s">
        <v>2699</v>
      </c>
      <c r="BR252" s="83" t="s">
        <v>2693</v>
      </c>
      <c r="BS252" s="83" t="s">
        <v>2699</v>
      </c>
      <c r="BT252" s="83" t="s">
        <v>2696</v>
      </c>
      <c r="BU252" s="83" t="s">
        <v>2699</v>
      </c>
      <c r="BV252" s="83" t="s">
        <v>2697</v>
      </c>
      <c r="BW252" s="83" t="s">
        <v>2698</v>
      </c>
      <c r="BX252" s="83" t="s">
        <v>2696</v>
      </c>
      <c r="BY252" s="83" t="s">
        <v>2699</v>
      </c>
      <c r="BZ252" s="83" t="s">
        <v>2699</v>
      </c>
      <c r="CA252" s="83" t="s">
        <v>2693</v>
      </c>
      <c r="CB252" s="83" t="s">
        <v>2694</v>
      </c>
      <c r="CC252" s="83" t="s">
        <v>2699</v>
      </c>
      <c r="CD252" s="83" t="s">
        <v>2696</v>
      </c>
      <c r="CF252" s="83" t="s">
        <v>624</v>
      </c>
      <c r="CG252" s="83" t="s">
        <v>625</v>
      </c>
      <c r="CH252" s="83" t="s">
        <v>2693</v>
      </c>
      <c r="CI252" s="83" t="s">
        <v>3992</v>
      </c>
      <c r="CJ252" s="83" t="s">
        <v>2701</v>
      </c>
      <c r="CK252" s="144">
        <v>0</v>
      </c>
      <c r="CL252" s="99">
        <v>19000</v>
      </c>
    </row>
    <row r="253" spans="1:90" s="79" customFormat="1">
      <c r="A253" s="83" t="s">
        <v>2860</v>
      </c>
      <c r="B253" s="83" t="s">
        <v>694</v>
      </c>
      <c r="C253" s="83"/>
      <c r="D253" s="83" t="s">
        <v>688</v>
      </c>
      <c r="E253" s="83" t="s">
        <v>2478</v>
      </c>
      <c r="F253" s="83" t="s">
        <v>2861</v>
      </c>
      <c r="G253" s="83" t="s">
        <v>2264</v>
      </c>
      <c r="H253" s="83" t="s">
        <v>1201</v>
      </c>
      <c r="I253" s="83" t="s">
        <v>1202</v>
      </c>
      <c r="J253" s="83" t="s">
        <v>1203</v>
      </c>
      <c r="K253" s="83" t="s">
        <v>565</v>
      </c>
      <c r="L253" s="83" t="s">
        <v>398</v>
      </c>
      <c r="M253" s="83" t="s">
        <v>399</v>
      </c>
      <c r="N253" s="83" t="s">
        <v>2752</v>
      </c>
      <c r="O253" s="83" t="s">
        <v>106</v>
      </c>
      <c r="P253" s="83">
        <v>4</v>
      </c>
      <c r="Q253" s="83" t="s">
        <v>106</v>
      </c>
      <c r="R253" s="83" t="s">
        <v>2753</v>
      </c>
      <c r="S253" s="83" t="s">
        <v>2862</v>
      </c>
      <c r="T253" s="83" t="s">
        <v>2843</v>
      </c>
      <c r="U253" s="83" t="s">
        <v>401</v>
      </c>
      <c r="V253" s="97"/>
      <c r="W253" s="97"/>
      <c r="X253" s="97"/>
      <c r="Y253" s="97"/>
      <c r="Z253" s="97"/>
      <c r="AA253" s="97"/>
      <c r="AB253" s="97"/>
      <c r="AC253" s="83" t="s">
        <v>401</v>
      </c>
      <c r="AD253" s="83"/>
      <c r="AE253" s="83"/>
      <c r="AF253" s="83"/>
      <c r="AG253" s="83"/>
      <c r="AH253" s="83"/>
      <c r="AI253" s="83"/>
      <c r="AJ253" s="83">
        <v>1</v>
      </c>
      <c r="AK253" s="83">
        <v>2</v>
      </c>
      <c r="AL253" s="83"/>
      <c r="AM253" s="83" t="s">
        <v>2693</v>
      </c>
      <c r="AN253" s="83"/>
      <c r="AO253" s="83"/>
      <c r="AP253" s="83"/>
      <c r="AQ253" s="83"/>
      <c r="AR253" s="83"/>
      <c r="AS253" s="83"/>
      <c r="AT253" s="83"/>
      <c r="AU253" s="83"/>
      <c r="AV253" s="83"/>
      <c r="AW253" s="83"/>
      <c r="AX253" s="83"/>
      <c r="AY253" s="83"/>
      <c r="AZ253" s="83"/>
      <c r="BA253" s="83"/>
      <c r="BB253" s="83"/>
      <c r="BC253" s="83"/>
      <c r="BD253" s="83"/>
      <c r="BE253" s="83"/>
      <c r="BF253" s="83"/>
      <c r="BG253" s="83"/>
      <c r="BH253" s="83"/>
      <c r="BI253" s="83"/>
      <c r="BJ253" s="83"/>
      <c r="BK253" s="83" t="s">
        <v>2694</v>
      </c>
      <c r="BL253" s="83" t="s">
        <v>2697</v>
      </c>
      <c r="BM253" s="83" t="s">
        <v>2699</v>
      </c>
      <c r="BN253" s="83" t="s">
        <v>2698</v>
      </c>
      <c r="BO253" s="83" t="s">
        <v>2697</v>
      </c>
      <c r="BP253" s="83" t="s">
        <v>2698</v>
      </c>
      <c r="BQ253" s="83" t="s">
        <v>2699</v>
      </c>
      <c r="BR253" s="83" t="s">
        <v>2699</v>
      </c>
      <c r="BS253" s="83" t="s">
        <v>2699</v>
      </c>
      <c r="BT253" s="83" t="s">
        <v>2696</v>
      </c>
      <c r="BU253" s="83" t="s">
        <v>2699</v>
      </c>
      <c r="BV253" s="83" t="s">
        <v>2696</v>
      </c>
      <c r="BW253" s="83" t="s">
        <v>2698</v>
      </c>
      <c r="BX253" s="83" t="s">
        <v>2696</v>
      </c>
      <c r="BY253" s="83" t="s">
        <v>2699</v>
      </c>
      <c r="BZ253" s="83" t="s">
        <v>2693</v>
      </c>
      <c r="CA253" s="83" t="s">
        <v>2693</v>
      </c>
      <c r="CB253" s="83" t="s">
        <v>2694</v>
      </c>
      <c r="CC253" s="83" t="s">
        <v>2699</v>
      </c>
      <c r="CD253" s="83" t="s">
        <v>2696</v>
      </c>
      <c r="CE253" s="83"/>
      <c r="CF253" s="83" t="s">
        <v>3902</v>
      </c>
      <c r="CG253" s="83" t="s">
        <v>3903</v>
      </c>
      <c r="CH253" s="83" t="s">
        <v>2693</v>
      </c>
      <c r="CI253" s="83" t="s">
        <v>649</v>
      </c>
      <c r="CJ253" s="83" t="s">
        <v>2701</v>
      </c>
      <c r="CK253" s="144">
        <v>1</v>
      </c>
      <c r="CL253"/>
    </row>
    <row r="254" spans="1:90" s="79" customFormat="1">
      <c r="A254" s="79" t="s">
        <v>3753</v>
      </c>
      <c r="B254" s="79" t="s">
        <v>694</v>
      </c>
      <c r="D254" s="79" t="s">
        <v>688</v>
      </c>
      <c r="E254" s="79" t="s">
        <v>2478</v>
      </c>
      <c r="F254" s="79">
        <v>1410</v>
      </c>
      <c r="G254" s="79" t="s">
        <v>2264</v>
      </c>
      <c r="H254" s="79" t="s">
        <v>1201</v>
      </c>
      <c r="I254" s="79" t="s">
        <v>1202</v>
      </c>
      <c r="J254" s="79" t="s">
        <v>1203</v>
      </c>
      <c r="K254" s="79" t="s">
        <v>565</v>
      </c>
      <c r="L254" s="79" t="s">
        <v>398</v>
      </c>
      <c r="M254" s="79" t="s">
        <v>399</v>
      </c>
      <c r="N254" s="79" t="s">
        <v>2752</v>
      </c>
      <c r="O254" s="79" t="s">
        <v>106</v>
      </c>
      <c r="P254" s="79">
        <v>4</v>
      </c>
      <c r="Q254" s="79" t="s">
        <v>106</v>
      </c>
      <c r="R254" s="79">
        <v>24</v>
      </c>
      <c r="S254" s="90">
        <v>3653</v>
      </c>
      <c r="T254" s="79" t="s">
        <v>2703</v>
      </c>
      <c r="U254" s="79" t="s">
        <v>401</v>
      </c>
      <c r="V254" s="97"/>
      <c r="W254" s="97"/>
      <c r="X254" s="97"/>
      <c r="Y254" s="97"/>
      <c r="Z254" s="97"/>
      <c r="AA254" s="97"/>
      <c r="AB254" s="97"/>
      <c r="AC254" s="79" t="s">
        <v>401</v>
      </c>
      <c r="AD254" s="79">
        <v>574000</v>
      </c>
      <c r="AF254" s="79">
        <v>0</v>
      </c>
      <c r="AJ254" s="79">
        <v>1</v>
      </c>
      <c r="AK254" s="83">
        <v>1</v>
      </c>
      <c r="AL254" s="79">
        <v>4960</v>
      </c>
      <c r="AM254" s="79" t="s">
        <v>2693</v>
      </c>
      <c r="BK254" s="79">
        <v>9</v>
      </c>
      <c r="BL254" s="79">
        <v>3</v>
      </c>
      <c r="BM254" s="79">
        <v>2</v>
      </c>
      <c r="BN254" s="79">
        <v>5</v>
      </c>
      <c r="BO254" s="79">
        <v>2</v>
      </c>
      <c r="BP254" s="79">
        <v>5</v>
      </c>
      <c r="BQ254" s="79">
        <v>1</v>
      </c>
      <c r="BR254" s="79">
        <v>2</v>
      </c>
      <c r="BS254" s="79">
        <v>1</v>
      </c>
      <c r="BT254" s="79">
        <v>0</v>
      </c>
      <c r="BU254" s="79">
        <v>1</v>
      </c>
      <c r="BV254" s="79">
        <v>0</v>
      </c>
      <c r="BW254" s="79">
        <v>5</v>
      </c>
      <c r="BX254" s="83">
        <v>0</v>
      </c>
      <c r="BY254" s="79">
        <v>1</v>
      </c>
      <c r="BZ254" s="79">
        <v>0</v>
      </c>
      <c r="CA254" s="79">
        <v>1</v>
      </c>
      <c r="CB254" s="79">
        <v>8</v>
      </c>
      <c r="CC254" s="79">
        <v>1</v>
      </c>
      <c r="CD254" s="79">
        <v>0</v>
      </c>
      <c r="CF254" s="79" t="s">
        <v>3902</v>
      </c>
      <c r="CG254" s="79" t="s">
        <v>3903</v>
      </c>
      <c r="CH254" s="79" t="s">
        <v>2693</v>
      </c>
      <c r="CI254" s="83" t="s">
        <v>3992</v>
      </c>
      <c r="CJ254" s="83" t="s">
        <v>2701</v>
      </c>
      <c r="CK254" s="145"/>
      <c r="CL254" s="99">
        <v>30000</v>
      </c>
    </row>
    <row r="255" spans="1:90">
      <c r="A255" s="83" t="s">
        <v>670</v>
      </c>
      <c r="B255" s="83" t="s">
        <v>2344</v>
      </c>
      <c r="D255" s="83" t="s">
        <v>688</v>
      </c>
      <c r="E255" s="83" t="s">
        <v>2344</v>
      </c>
      <c r="F255" s="83" t="s">
        <v>3371</v>
      </c>
      <c r="G255" s="83" t="s">
        <v>1165</v>
      </c>
      <c r="H255" s="83" t="s">
        <v>566</v>
      </c>
      <c r="I255" s="83" t="s">
        <v>567</v>
      </c>
      <c r="J255" s="83" t="s">
        <v>564</v>
      </c>
      <c r="K255" s="83" t="s">
        <v>565</v>
      </c>
      <c r="L255" s="83" t="s">
        <v>398</v>
      </c>
      <c r="M255" s="83" t="s">
        <v>399</v>
      </c>
      <c r="N255" s="83" t="s">
        <v>2752</v>
      </c>
      <c r="O255" s="83" t="s">
        <v>106</v>
      </c>
      <c r="P255" s="83">
        <v>4</v>
      </c>
      <c r="Q255" s="83" t="s">
        <v>106</v>
      </c>
      <c r="R255" s="83" t="s">
        <v>2753</v>
      </c>
      <c r="S255" s="83" t="s">
        <v>3372</v>
      </c>
      <c r="T255" s="83" t="s">
        <v>2706</v>
      </c>
      <c r="U255" s="83" t="s">
        <v>401</v>
      </c>
      <c r="AC255" s="83" t="s">
        <v>401</v>
      </c>
      <c r="AD255" s="83">
        <v>995000</v>
      </c>
      <c r="AF255" s="83">
        <v>71000</v>
      </c>
      <c r="AJ255" s="83">
        <v>1</v>
      </c>
      <c r="AK255" s="83">
        <v>2</v>
      </c>
      <c r="AL255" s="83">
        <v>8502</v>
      </c>
      <c r="AM255" s="83" t="s">
        <v>2693</v>
      </c>
      <c r="BK255" s="83" t="s">
        <v>2694</v>
      </c>
      <c r="BL255" s="83" t="s">
        <v>2697</v>
      </c>
      <c r="BM255" s="83" t="s">
        <v>2699</v>
      </c>
      <c r="BN255" s="83" t="s">
        <v>2698</v>
      </c>
      <c r="BO255" s="83" t="s">
        <v>2697</v>
      </c>
      <c r="BP255" s="83" t="s">
        <v>2695</v>
      </c>
      <c r="BQ255" s="83" t="s">
        <v>2699</v>
      </c>
      <c r="BR255" s="83" t="s">
        <v>2699</v>
      </c>
      <c r="BS255" s="83" t="s">
        <v>2699</v>
      </c>
      <c r="BT255" s="83" t="s">
        <v>2696</v>
      </c>
      <c r="BU255" s="83" t="s">
        <v>2699</v>
      </c>
      <c r="BV255" s="83" t="s">
        <v>2697</v>
      </c>
      <c r="BW255" s="83" t="s">
        <v>2698</v>
      </c>
      <c r="BX255" s="83" t="s">
        <v>2696</v>
      </c>
      <c r="BY255" s="83" t="s">
        <v>2699</v>
      </c>
      <c r="BZ255" s="83" t="s">
        <v>2699</v>
      </c>
      <c r="CA255" s="83" t="s">
        <v>2693</v>
      </c>
      <c r="CB255" s="83" t="s">
        <v>2694</v>
      </c>
      <c r="CC255" s="83" t="s">
        <v>2699</v>
      </c>
      <c r="CD255" s="83" t="s">
        <v>2696</v>
      </c>
      <c r="CF255" s="83" t="s">
        <v>574</v>
      </c>
      <c r="CG255" s="83" t="s">
        <v>575</v>
      </c>
      <c r="CH255" s="83" t="s">
        <v>2693</v>
      </c>
      <c r="CI255" s="83" t="s">
        <v>3992</v>
      </c>
      <c r="CJ255" s="83" t="s">
        <v>2701</v>
      </c>
      <c r="CK255" s="144">
        <v>0</v>
      </c>
      <c r="CL255" s="99">
        <v>33000</v>
      </c>
    </row>
    <row r="256" spans="1:90">
      <c r="A256" s="83" t="s">
        <v>670</v>
      </c>
      <c r="B256" s="83" t="s">
        <v>2344</v>
      </c>
      <c r="D256" s="83" t="s">
        <v>673</v>
      </c>
      <c r="E256" s="83" t="s">
        <v>2345</v>
      </c>
      <c r="F256" s="83" t="s">
        <v>3371</v>
      </c>
      <c r="G256" s="83" t="s">
        <v>1165</v>
      </c>
      <c r="H256" s="83" t="s">
        <v>566</v>
      </c>
      <c r="I256" s="83" t="s">
        <v>567</v>
      </c>
      <c r="J256" s="83" t="s">
        <v>564</v>
      </c>
      <c r="K256" s="83" t="s">
        <v>565</v>
      </c>
      <c r="L256" s="83" t="s">
        <v>398</v>
      </c>
      <c r="M256" s="83" t="s">
        <v>399</v>
      </c>
      <c r="N256" s="83" t="s">
        <v>2752</v>
      </c>
      <c r="O256" s="83" t="s">
        <v>106</v>
      </c>
      <c r="P256" s="83">
        <v>4</v>
      </c>
      <c r="Q256" s="83" t="s">
        <v>106</v>
      </c>
      <c r="R256" s="83" t="s">
        <v>2753</v>
      </c>
      <c r="S256" s="83" t="s">
        <v>1446</v>
      </c>
      <c r="T256" s="83" t="s">
        <v>2703</v>
      </c>
      <c r="U256" s="83" t="s">
        <v>401</v>
      </c>
      <c r="AC256" s="83" t="s">
        <v>401</v>
      </c>
      <c r="AD256" s="83">
        <v>279000</v>
      </c>
      <c r="AF256" s="83">
        <v>61000</v>
      </c>
      <c r="AJ256" s="83">
        <v>1</v>
      </c>
      <c r="AK256" s="83">
        <v>1</v>
      </c>
      <c r="AL256" s="83">
        <v>3240</v>
      </c>
      <c r="AM256" s="83" t="s">
        <v>2693</v>
      </c>
      <c r="BK256" s="83" t="s">
        <v>2694</v>
      </c>
      <c r="BL256" s="83" t="s">
        <v>2697</v>
      </c>
      <c r="BM256" s="83" t="s">
        <v>2699</v>
      </c>
      <c r="BN256" s="83" t="s">
        <v>2698</v>
      </c>
      <c r="BO256" s="83" t="s">
        <v>2697</v>
      </c>
      <c r="BP256" s="83" t="s">
        <v>2695</v>
      </c>
      <c r="BQ256" s="83" t="s">
        <v>2699</v>
      </c>
      <c r="BR256" s="83" t="s">
        <v>2699</v>
      </c>
      <c r="BS256" s="83" t="s">
        <v>2699</v>
      </c>
      <c r="BT256" s="83" t="s">
        <v>2696</v>
      </c>
      <c r="BU256" s="83" t="s">
        <v>2699</v>
      </c>
      <c r="BV256" s="83" t="s">
        <v>2697</v>
      </c>
      <c r="BW256" s="83" t="s">
        <v>2698</v>
      </c>
      <c r="BX256" s="83" t="s">
        <v>2696</v>
      </c>
      <c r="BY256" s="83" t="s">
        <v>2699</v>
      </c>
      <c r="BZ256" s="83" t="s">
        <v>2699</v>
      </c>
      <c r="CA256" s="83" t="s">
        <v>2693</v>
      </c>
      <c r="CB256" s="83" t="s">
        <v>2694</v>
      </c>
      <c r="CC256" s="83" t="s">
        <v>2696</v>
      </c>
      <c r="CD256" s="83" t="s">
        <v>2696</v>
      </c>
      <c r="CF256" s="83" t="s">
        <v>576</v>
      </c>
      <c r="CG256" s="83" t="s">
        <v>577</v>
      </c>
      <c r="CH256" s="83" t="s">
        <v>2693</v>
      </c>
      <c r="CI256" s="83" t="s">
        <v>3992</v>
      </c>
      <c r="CJ256" s="83" t="s">
        <v>2701</v>
      </c>
      <c r="CK256" s="144">
        <v>0</v>
      </c>
      <c r="CL256"/>
    </row>
    <row r="257" spans="1:90">
      <c r="A257" s="83" t="s">
        <v>669</v>
      </c>
      <c r="B257" s="83" t="s">
        <v>2346</v>
      </c>
      <c r="D257" s="83" t="s">
        <v>688</v>
      </c>
      <c r="E257" s="83" t="s">
        <v>2346</v>
      </c>
      <c r="F257" s="83" t="s">
        <v>3373</v>
      </c>
      <c r="G257" s="83" t="s">
        <v>1166</v>
      </c>
      <c r="H257" s="83" t="s">
        <v>566</v>
      </c>
      <c r="I257" s="83" t="s">
        <v>567</v>
      </c>
      <c r="J257" s="83" t="s">
        <v>564</v>
      </c>
      <c r="K257" s="83" t="s">
        <v>565</v>
      </c>
      <c r="L257" s="83" t="s">
        <v>398</v>
      </c>
      <c r="M257" s="83" t="s">
        <v>399</v>
      </c>
      <c r="N257" s="83" t="s">
        <v>2752</v>
      </c>
      <c r="O257" s="83" t="s">
        <v>106</v>
      </c>
      <c r="P257" s="83">
        <v>4</v>
      </c>
      <c r="Q257" s="83" t="s">
        <v>106</v>
      </c>
      <c r="R257" s="83" t="s">
        <v>2753</v>
      </c>
      <c r="S257" s="83" t="s">
        <v>1467</v>
      </c>
      <c r="T257" s="83" t="s">
        <v>2724</v>
      </c>
      <c r="U257" s="83" t="s">
        <v>401</v>
      </c>
      <c r="AC257" s="83" t="s">
        <v>401</v>
      </c>
      <c r="AD257" s="83">
        <v>531000</v>
      </c>
      <c r="AF257" s="83">
        <v>0</v>
      </c>
      <c r="AJ257" s="83">
        <v>1</v>
      </c>
      <c r="AK257" s="83">
        <v>2</v>
      </c>
      <c r="AL257" s="83">
        <v>5720</v>
      </c>
      <c r="AM257" s="83" t="s">
        <v>2693</v>
      </c>
      <c r="BK257" s="83" t="s">
        <v>2694</v>
      </c>
      <c r="BL257" s="83" t="s">
        <v>2704</v>
      </c>
      <c r="BM257" s="83" t="s">
        <v>2695</v>
      </c>
      <c r="BN257" s="83" t="s">
        <v>2698</v>
      </c>
      <c r="BO257" s="83" t="s">
        <v>2697</v>
      </c>
      <c r="BP257" s="83" t="s">
        <v>2695</v>
      </c>
      <c r="BQ257" s="83" t="s">
        <v>2699</v>
      </c>
      <c r="BR257" s="83" t="s">
        <v>2693</v>
      </c>
      <c r="BS257" s="83" t="s">
        <v>2699</v>
      </c>
      <c r="BT257" s="83" t="s">
        <v>2696</v>
      </c>
      <c r="BU257" s="83" t="s">
        <v>2699</v>
      </c>
      <c r="BV257" s="83" t="s">
        <v>2697</v>
      </c>
      <c r="BW257" s="83" t="s">
        <v>2698</v>
      </c>
      <c r="BX257" s="83" t="s">
        <v>2696</v>
      </c>
      <c r="BY257" s="83" t="s">
        <v>2699</v>
      </c>
      <c r="BZ257" s="83" t="s">
        <v>2699</v>
      </c>
      <c r="CA257" s="83" t="s">
        <v>2693</v>
      </c>
      <c r="CB257" s="83" t="s">
        <v>2694</v>
      </c>
      <c r="CC257" s="83" t="s">
        <v>2696</v>
      </c>
      <c r="CD257" s="83" t="s">
        <v>2696</v>
      </c>
      <c r="CF257" s="83" t="s">
        <v>578</v>
      </c>
      <c r="CG257" s="83" t="s">
        <v>579</v>
      </c>
      <c r="CH257" s="83" t="s">
        <v>2693</v>
      </c>
      <c r="CI257" s="83" t="s">
        <v>3992</v>
      </c>
      <c r="CJ257" s="83" t="s">
        <v>2701</v>
      </c>
      <c r="CK257" s="144">
        <v>0</v>
      </c>
      <c r="CL257" s="99">
        <v>29000</v>
      </c>
    </row>
    <row r="258" spans="1:90">
      <c r="A258" s="83" t="s">
        <v>669</v>
      </c>
      <c r="B258" s="83" t="s">
        <v>2346</v>
      </c>
      <c r="D258" s="83" t="s">
        <v>673</v>
      </c>
      <c r="E258" s="83" t="s">
        <v>2391</v>
      </c>
      <c r="F258" s="83" t="s">
        <v>3452</v>
      </c>
      <c r="G258" s="83" t="s">
        <v>1167</v>
      </c>
      <c r="H258" s="83" t="s">
        <v>1201</v>
      </c>
      <c r="I258" s="83" t="s">
        <v>1202</v>
      </c>
      <c r="J258" s="83" t="s">
        <v>1203</v>
      </c>
      <c r="K258" s="83" t="s">
        <v>565</v>
      </c>
      <c r="L258" s="83" t="s">
        <v>398</v>
      </c>
      <c r="M258" s="83" t="s">
        <v>399</v>
      </c>
      <c r="N258" s="83" t="s">
        <v>2705</v>
      </c>
      <c r="O258" s="83" t="s">
        <v>106</v>
      </c>
      <c r="P258" s="83">
        <v>4</v>
      </c>
      <c r="Q258" s="83" t="s">
        <v>106</v>
      </c>
      <c r="R258" s="83" t="s">
        <v>2753</v>
      </c>
      <c r="S258" s="83" t="s">
        <v>2804</v>
      </c>
      <c r="T258" s="83" t="s">
        <v>2703</v>
      </c>
      <c r="U258" s="83" t="s">
        <v>401</v>
      </c>
      <c r="AC258" s="83" t="s">
        <v>401</v>
      </c>
      <c r="AD258" s="83">
        <v>1344000</v>
      </c>
      <c r="AF258" s="83">
        <v>327000</v>
      </c>
      <c r="AJ258" s="83">
        <v>1</v>
      </c>
      <c r="AK258" s="83">
        <v>1</v>
      </c>
      <c r="AL258" s="83">
        <v>10842</v>
      </c>
      <c r="AM258" s="83" t="s">
        <v>2693</v>
      </c>
      <c r="BK258" s="83" t="s">
        <v>2694</v>
      </c>
      <c r="BL258" s="83" t="s">
        <v>2704</v>
      </c>
      <c r="BM258" s="83" t="s">
        <v>2697</v>
      </c>
      <c r="BN258" s="83" t="s">
        <v>2698</v>
      </c>
      <c r="BO258" s="83" t="s">
        <v>2699</v>
      </c>
      <c r="BP258" s="83" t="s">
        <v>2695</v>
      </c>
      <c r="BQ258" s="83" t="s">
        <v>2699</v>
      </c>
      <c r="BR258" s="83" t="s">
        <v>2693</v>
      </c>
      <c r="BS258" s="83" t="s">
        <v>2699</v>
      </c>
      <c r="BT258" s="83" t="s">
        <v>2696</v>
      </c>
      <c r="BU258" s="83" t="s">
        <v>2699</v>
      </c>
      <c r="BV258" s="83" t="s">
        <v>2699</v>
      </c>
      <c r="BW258" s="83" t="s">
        <v>2698</v>
      </c>
      <c r="BX258" s="83" t="s">
        <v>2696</v>
      </c>
      <c r="BY258" s="83" t="s">
        <v>2699</v>
      </c>
      <c r="BZ258" s="83" t="s">
        <v>2699</v>
      </c>
      <c r="CA258" s="83" t="s">
        <v>2693</v>
      </c>
      <c r="CB258" s="83" t="s">
        <v>2694</v>
      </c>
      <c r="CC258" s="83" t="s">
        <v>2699</v>
      </c>
      <c r="CD258" s="83" t="s">
        <v>2699</v>
      </c>
      <c r="CF258" s="83" t="s">
        <v>702</v>
      </c>
      <c r="CG258" s="83" t="s">
        <v>703</v>
      </c>
      <c r="CH258" s="83" t="s">
        <v>2693</v>
      </c>
      <c r="CI258" s="83" t="s">
        <v>3992</v>
      </c>
      <c r="CJ258" s="83" t="s">
        <v>2701</v>
      </c>
      <c r="CK258" s="144">
        <v>1</v>
      </c>
      <c r="CL258"/>
    </row>
    <row r="259" spans="1:90">
      <c r="A259" s="83" t="s">
        <v>1138</v>
      </c>
      <c r="B259" s="83" t="s">
        <v>1071</v>
      </c>
      <c r="D259" s="83" t="s">
        <v>688</v>
      </c>
      <c r="E259" s="83" t="s">
        <v>1071</v>
      </c>
      <c r="F259" s="83" t="s">
        <v>3453</v>
      </c>
      <c r="G259" s="83" t="s">
        <v>1159</v>
      </c>
      <c r="H259" s="83" t="s">
        <v>1201</v>
      </c>
      <c r="I259" s="83" t="s">
        <v>1202</v>
      </c>
      <c r="J259" s="83" t="s">
        <v>1203</v>
      </c>
      <c r="K259" s="83" t="s">
        <v>565</v>
      </c>
      <c r="L259" s="83" t="s">
        <v>398</v>
      </c>
      <c r="M259" s="83" t="s">
        <v>399</v>
      </c>
      <c r="N259" s="83" t="s">
        <v>2792</v>
      </c>
      <c r="O259" s="83" t="s">
        <v>106</v>
      </c>
      <c r="P259" s="83">
        <v>7</v>
      </c>
      <c r="Q259" s="83" t="s">
        <v>106</v>
      </c>
      <c r="R259" s="83" t="s">
        <v>2799</v>
      </c>
      <c r="S259" s="83" t="s">
        <v>2793</v>
      </c>
      <c r="T259" s="83" t="s">
        <v>2703</v>
      </c>
      <c r="U259" s="83" t="s">
        <v>401</v>
      </c>
      <c r="AC259" s="83" t="s">
        <v>401</v>
      </c>
      <c r="AD259" s="83">
        <v>2958000</v>
      </c>
      <c r="AF259" s="83">
        <v>1050000</v>
      </c>
      <c r="AJ259" s="83">
        <v>1</v>
      </c>
      <c r="AK259" s="83">
        <v>1</v>
      </c>
      <c r="AL259" s="83">
        <v>37466</v>
      </c>
      <c r="AM259" s="83" t="s">
        <v>2693</v>
      </c>
      <c r="BK259" s="83" t="s">
        <v>2694</v>
      </c>
      <c r="BL259" s="83" t="s">
        <v>2693</v>
      </c>
      <c r="BM259" s="83" t="s">
        <v>2698</v>
      </c>
      <c r="BN259" s="83" t="s">
        <v>2698</v>
      </c>
      <c r="BO259" s="83" t="s">
        <v>2697</v>
      </c>
      <c r="BP259" s="83" t="s">
        <v>2693</v>
      </c>
      <c r="BQ259" s="83" t="s">
        <v>2699</v>
      </c>
      <c r="BR259" s="83" t="s">
        <v>2693</v>
      </c>
      <c r="BS259" s="83" t="s">
        <v>2699</v>
      </c>
      <c r="BT259" s="83" t="s">
        <v>2696</v>
      </c>
      <c r="BU259" s="83" t="s">
        <v>2699</v>
      </c>
      <c r="BV259" s="83" t="s">
        <v>2697</v>
      </c>
      <c r="BW259" s="83" t="s">
        <v>2693</v>
      </c>
      <c r="BX259" s="83" t="s">
        <v>2696</v>
      </c>
      <c r="BY259" s="83" t="s">
        <v>2699</v>
      </c>
      <c r="BZ259" s="83" t="s">
        <v>2699</v>
      </c>
      <c r="CA259" s="83" t="s">
        <v>2693</v>
      </c>
      <c r="CB259" s="83" t="s">
        <v>2694</v>
      </c>
      <c r="CC259" s="83" t="s">
        <v>2699</v>
      </c>
      <c r="CD259" s="83" t="s">
        <v>2696</v>
      </c>
      <c r="CF259" s="83" t="s">
        <v>1072</v>
      </c>
      <c r="CG259" s="83" t="s">
        <v>1073</v>
      </c>
      <c r="CH259" s="83" t="s">
        <v>2698</v>
      </c>
      <c r="CI259" s="83" t="s">
        <v>2009</v>
      </c>
      <c r="CJ259" s="83">
        <v>135</v>
      </c>
      <c r="CK259" s="144">
        <v>2</v>
      </c>
      <c r="CL259" s="99">
        <v>28000</v>
      </c>
    </row>
    <row r="260" spans="1:90">
      <c r="A260" s="83" t="s">
        <v>667</v>
      </c>
      <c r="B260" s="83" t="s">
        <v>561</v>
      </c>
      <c r="D260" s="83" t="s">
        <v>688</v>
      </c>
      <c r="E260" s="83" t="s">
        <v>561</v>
      </c>
      <c r="F260" s="83" t="s">
        <v>1749</v>
      </c>
      <c r="G260" s="83" t="s">
        <v>1168</v>
      </c>
      <c r="H260" s="83" t="s">
        <v>1201</v>
      </c>
      <c r="I260" s="83" t="s">
        <v>1202</v>
      </c>
      <c r="J260" s="83" t="s">
        <v>1203</v>
      </c>
      <c r="K260" s="83" t="s">
        <v>565</v>
      </c>
      <c r="L260" s="83" t="s">
        <v>398</v>
      </c>
      <c r="M260" s="83" t="s">
        <v>399</v>
      </c>
      <c r="N260" s="83" t="s">
        <v>2709</v>
      </c>
      <c r="O260" s="83" t="s">
        <v>106</v>
      </c>
      <c r="P260" s="83">
        <v>5</v>
      </c>
      <c r="Q260" s="83" t="s">
        <v>106</v>
      </c>
      <c r="R260" s="83" t="s">
        <v>2753</v>
      </c>
      <c r="S260" s="83" t="s">
        <v>2772</v>
      </c>
      <c r="T260" s="83" t="s">
        <v>2769</v>
      </c>
      <c r="U260" s="83" t="s">
        <v>401</v>
      </c>
      <c r="AC260" s="83" t="s">
        <v>401</v>
      </c>
      <c r="AD260" s="83">
        <v>964000</v>
      </c>
      <c r="AF260" s="83">
        <v>59000</v>
      </c>
      <c r="AJ260" s="83">
        <v>1</v>
      </c>
      <c r="AK260" s="83">
        <v>1</v>
      </c>
      <c r="AL260" s="83">
        <v>7070</v>
      </c>
      <c r="AM260" s="83" t="s">
        <v>2693</v>
      </c>
      <c r="BK260" s="83" t="s">
        <v>2694</v>
      </c>
      <c r="BL260" s="83" t="s">
        <v>2697</v>
      </c>
      <c r="BM260" s="83" t="s">
        <v>2699</v>
      </c>
      <c r="BN260" s="83" t="s">
        <v>2698</v>
      </c>
      <c r="BO260" s="83" t="s">
        <v>2697</v>
      </c>
      <c r="BP260" s="83" t="s">
        <v>2693</v>
      </c>
      <c r="BQ260" s="83" t="s">
        <v>2699</v>
      </c>
      <c r="BR260" s="83" t="s">
        <v>2699</v>
      </c>
      <c r="BS260" s="83" t="s">
        <v>2699</v>
      </c>
      <c r="BT260" s="83">
        <v>0</v>
      </c>
      <c r="BU260" s="83" t="s">
        <v>2699</v>
      </c>
      <c r="BV260" s="83" t="s">
        <v>2696</v>
      </c>
      <c r="BW260" s="83" t="s">
        <v>2698</v>
      </c>
      <c r="BX260" s="83" t="s">
        <v>2696</v>
      </c>
      <c r="BY260" s="83" t="s">
        <v>2699</v>
      </c>
      <c r="BZ260" s="83" t="s">
        <v>2693</v>
      </c>
      <c r="CA260" s="83" t="s">
        <v>2693</v>
      </c>
      <c r="CB260" s="83">
        <v>9</v>
      </c>
      <c r="CC260" s="83" t="s">
        <v>2699</v>
      </c>
      <c r="CD260" s="83" t="s">
        <v>2696</v>
      </c>
      <c r="CF260" s="83" t="s">
        <v>2136</v>
      </c>
      <c r="CG260" s="83" t="s">
        <v>2137</v>
      </c>
      <c r="CH260" s="83" t="s">
        <v>2725</v>
      </c>
      <c r="CI260" s="83" t="s">
        <v>1358</v>
      </c>
      <c r="CJ260" s="83" t="s">
        <v>2726</v>
      </c>
      <c r="CK260" s="144">
        <v>0</v>
      </c>
      <c r="CL260" s="99">
        <v>23000</v>
      </c>
    </row>
    <row r="261" spans="1:90">
      <c r="A261" s="83" t="s">
        <v>2622</v>
      </c>
      <c r="B261" s="83" t="s">
        <v>999</v>
      </c>
      <c r="D261" s="83" t="s">
        <v>688</v>
      </c>
      <c r="E261" s="83" t="s">
        <v>2623</v>
      </c>
      <c r="F261" s="83" t="s">
        <v>3326</v>
      </c>
      <c r="G261" s="83" t="s">
        <v>2332</v>
      </c>
      <c r="H261" s="83" t="s">
        <v>1201</v>
      </c>
      <c r="I261" s="83" t="s">
        <v>1202</v>
      </c>
      <c r="J261" s="83" t="s">
        <v>1203</v>
      </c>
      <c r="K261" s="83" t="s">
        <v>565</v>
      </c>
      <c r="L261" s="83" t="s">
        <v>398</v>
      </c>
      <c r="M261" s="83" t="s">
        <v>399</v>
      </c>
      <c r="N261" s="83" t="s">
        <v>3327</v>
      </c>
      <c r="O261" s="83" t="s">
        <v>106</v>
      </c>
      <c r="P261" s="83">
        <v>0</v>
      </c>
      <c r="Q261" s="83" t="s">
        <v>106</v>
      </c>
      <c r="R261" s="83" t="s">
        <v>2727</v>
      </c>
      <c r="S261" s="87">
        <v>31412</v>
      </c>
      <c r="T261" s="83" t="s">
        <v>2843</v>
      </c>
      <c r="U261" s="83" t="s">
        <v>401</v>
      </c>
      <c r="AC261" s="83" t="s">
        <v>401</v>
      </c>
      <c r="AD261" s="83">
        <v>0</v>
      </c>
      <c r="AF261" s="83">
        <v>190000</v>
      </c>
      <c r="AJ261" s="83">
        <v>1</v>
      </c>
      <c r="AK261" s="83">
        <v>0</v>
      </c>
      <c r="AL261" s="83">
        <v>0</v>
      </c>
      <c r="AM261" s="83" t="s">
        <v>2693</v>
      </c>
      <c r="BK261" s="83">
        <v>0</v>
      </c>
      <c r="BL261" s="83">
        <v>0</v>
      </c>
      <c r="BM261" s="83">
        <v>0</v>
      </c>
      <c r="BN261" s="83">
        <v>0</v>
      </c>
      <c r="BO261" s="83">
        <v>0</v>
      </c>
      <c r="BP261" s="83">
        <v>0</v>
      </c>
      <c r="BQ261" s="83">
        <v>0</v>
      </c>
      <c r="BR261" s="83">
        <v>0</v>
      </c>
      <c r="BS261" s="83">
        <v>0</v>
      </c>
      <c r="BT261" s="83">
        <v>0</v>
      </c>
      <c r="BU261" s="83">
        <v>1</v>
      </c>
      <c r="BV261" s="83">
        <v>0</v>
      </c>
      <c r="BW261" s="83">
        <v>0</v>
      </c>
      <c r="BX261" s="83">
        <v>0</v>
      </c>
      <c r="BY261" s="83">
        <v>0</v>
      </c>
      <c r="BZ261" s="83">
        <v>0</v>
      </c>
      <c r="CA261" s="83">
        <v>0</v>
      </c>
      <c r="CB261" s="83">
        <v>8</v>
      </c>
      <c r="CC261" s="83">
        <v>0</v>
      </c>
      <c r="CD261" s="83">
        <v>0</v>
      </c>
      <c r="CF261" s="83" t="s">
        <v>3328</v>
      </c>
      <c r="CG261" s="83" t="s">
        <v>3329</v>
      </c>
      <c r="CK261" s="144">
        <v>0</v>
      </c>
      <c r="CL261"/>
    </row>
    <row r="262" spans="1:90">
      <c r="A262" s="83" t="s">
        <v>656</v>
      </c>
      <c r="B262" s="83" t="s">
        <v>550</v>
      </c>
      <c r="D262" s="83" t="s">
        <v>688</v>
      </c>
      <c r="E262" s="83" t="s">
        <v>550</v>
      </c>
      <c r="F262" s="83" t="s">
        <v>3392</v>
      </c>
      <c r="G262" s="83" t="s">
        <v>1169</v>
      </c>
      <c r="H262" s="83" t="s">
        <v>566</v>
      </c>
      <c r="I262" s="83" t="s">
        <v>567</v>
      </c>
      <c r="J262" s="83" t="s">
        <v>564</v>
      </c>
      <c r="K262" s="83" t="s">
        <v>565</v>
      </c>
      <c r="L262" s="83" t="s">
        <v>398</v>
      </c>
      <c r="M262" s="83" t="s">
        <v>399</v>
      </c>
      <c r="N262" s="83" t="s">
        <v>2690</v>
      </c>
      <c r="O262" s="83" t="s">
        <v>106</v>
      </c>
      <c r="P262" s="83">
        <v>4</v>
      </c>
      <c r="Q262" s="83" t="s">
        <v>106</v>
      </c>
      <c r="R262" s="83" t="s">
        <v>2753</v>
      </c>
      <c r="S262" s="83" t="s">
        <v>1462</v>
      </c>
      <c r="T262" s="83" t="s">
        <v>2703</v>
      </c>
      <c r="U262" s="83" t="s">
        <v>401</v>
      </c>
      <c r="AC262" s="83" t="s">
        <v>401</v>
      </c>
      <c r="AD262" s="83">
        <v>1063000</v>
      </c>
      <c r="AF262" s="83">
        <v>73000</v>
      </c>
      <c r="AJ262" s="83">
        <v>1</v>
      </c>
      <c r="AK262" s="83">
        <v>2</v>
      </c>
      <c r="AL262" s="83">
        <v>8724</v>
      </c>
      <c r="AM262" s="83" t="s">
        <v>2693</v>
      </c>
      <c r="BK262" s="83" t="s">
        <v>2694</v>
      </c>
      <c r="BL262" s="83" t="s">
        <v>2698</v>
      </c>
      <c r="BM262" s="83" t="s">
        <v>2697</v>
      </c>
      <c r="BN262" s="83" t="s">
        <v>2698</v>
      </c>
      <c r="BO262" s="83" t="s">
        <v>2697</v>
      </c>
      <c r="BP262" s="83" t="s">
        <v>2695</v>
      </c>
      <c r="BQ262" s="83" t="s">
        <v>2699</v>
      </c>
      <c r="BR262" s="83" t="s">
        <v>2693</v>
      </c>
      <c r="BS262" s="83" t="s">
        <v>2699</v>
      </c>
      <c r="BT262" s="83" t="s">
        <v>2696</v>
      </c>
      <c r="BU262" s="83" t="s">
        <v>2699</v>
      </c>
      <c r="BV262" s="83" t="s">
        <v>2697</v>
      </c>
      <c r="BW262" s="83" t="s">
        <v>2698</v>
      </c>
      <c r="BX262" s="83" t="s">
        <v>2696</v>
      </c>
      <c r="BY262" s="83" t="s">
        <v>2699</v>
      </c>
      <c r="BZ262" s="83" t="s">
        <v>2699</v>
      </c>
      <c r="CA262" s="83" t="s">
        <v>2693</v>
      </c>
      <c r="CB262" s="83" t="s">
        <v>2694</v>
      </c>
      <c r="CC262" s="83" t="s">
        <v>2699</v>
      </c>
      <c r="CD262" s="83" t="s">
        <v>2696</v>
      </c>
      <c r="CF262" s="83" t="s">
        <v>614</v>
      </c>
      <c r="CG262" s="83" t="s">
        <v>615</v>
      </c>
      <c r="CH262" s="83" t="s">
        <v>2693</v>
      </c>
      <c r="CI262" s="83" t="s">
        <v>3992</v>
      </c>
      <c r="CJ262" s="83" t="s">
        <v>2701</v>
      </c>
      <c r="CK262" s="144">
        <v>0</v>
      </c>
      <c r="CL262" s="99">
        <v>8000</v>
      </c>
    </row>
    <row r="263" spans="1:90">
      <c r="A263" s="83" t="s">
        <v>658</v>
      </c>
      <c r="B263" s="83" t="s">
        <v>2361</v>
      </c>
      <c r="D263" s="83" t="s">
        <v>688</v>
      </c>
      <c r="E263" s="83" t="s">
        <v>2361</v>
      </c>
      <c r="F263" s="83" t="s">
        <v>3399</v>
      </c>
      <c r="G263" s="83" t="s">
        <v>1170</v>
      </c>
      <c r="H263" s="83" t="s">
        <v>566</v>
      </c>
      <c r="I263" s="83" t="s">
        <v>567</v>
      </c>
      <c r="J263" s="83" t="s">
        <v>564</v>
      </c>
      <c r="K263" s="83" t="s">
        <v>565</v>
      </c>
      <c r="L263" s="83" t="s">
        <v>398</v>
      </c>
      <c r="M263" s="83" t="s">
        <v>399</v>
      </c>
      <c r="N263" s="83" t="s">
        <v>2899</v>
      </c>
      <c r="O263" s="83" t="s">
        <v>106</v>
      </c>
      <c r="P263" s="83">
        <v>5</v>
      </c>
      <c r="Q263" s="83" t="s">
        <v>106</v>
      </c>
      <c r="R263" s="83" t="s">
        <v>2753</v>
      </c>
      <c r="S263" s="83" t="s">
        <v>3400</v>
      </c>
      <c r="T263" s="83" t="s">
        <v>2703</v>
      </c>
      <c r="U263" s="83" t="s">
        <v>401</v>
      </c>
      <c r="AC263" s="83" t="s">
        <v>401</v>
      </c>
      <c r="AD263" s="83">
        <v>133000</v>
      </c>
      <c r="AF263" s="83">
        <v>35000</v>
      </c>
      <c r="AJ263" s="83">
        <v>1</v>
      </c>
      <c r="AK263" s="83">
        <v>1</v>
      </c>
      <c r="AL263" s="83">
        <v>1369</v>
      </c>
      <c r="AM263" s="83" t="s">
        <v>2693</v>
      </c>
      <c r="BK263" s="83" t="s">
        <v>2694</v>
      </c>
      <c r="BL263" s="83" t="s">
        <v>2695</v>
      </c>
      <c r="BM263" s="83" t="s">
        <v>2698</v>
      </c>
      <c r="BN263" s="83" t="s">
        <v>2698</v>
      </c>
      <c r="BO263" s="83" t="s">
        <v>2693</v>
      </c>
      <c r="BP263" s="83" t="s">
        <v>2699</v>
      </c>
      <c r="BQ263" s="83" t="s">
        <v>2699</v>
      </c>
      <c r="BR263" s="83" t="s">
        <v>2693</v>
      </c>
      <c r="BS263" s="83" t="s">
        <v>2699</v>
      </c>
      <c r="BT263" s="83" t="s">
        <v>2696</v>
      </c>
      <c r="BU263" s="83" t="s">
        <v>2699</v>
      </c>
      <c r="BV263" s="83" t="s">
        <v>2697</v>
      </c>
      <c r="BW263" s="83" t="s">
        <v>2698</v>
      </c>
      <c r="BX263" s="83" t="s">
        <v>2696</v>
      </c>
      <c r="BY263" s="83" t="s">
        <v>2699</v>
      </c>
      <c r="BZ263" s="83" t="s">
        <v>2699</v>
      </c>
      <c r="CA263" s="83" t="s">
        <v>2693</v>
      </c>
      <c r="CB263" s="83" t="s">
        <v>2694</v>
      </c>
      <c r="CC263" s="83" t="s">
        <v>2699</v>
      </c>
      <c r="CD263" s="83" t="s">
        <v>2696</v>
      </c>
      <c r="CF263" s="83" t="s">
        <v>622</v>
      </c>
      <c r="CG263" s="83" t="s">
        <v>623</v>
      </c>
      <c r="CH263" s="83" t="s">
        <v>2725</v>
      </c>
      <c r="CI263" s="83" t="s">
        <v>1358</v>
      </c>
      <c r="CJ263" s="83" t="s">
        <v>2726</v>
      </c>
      <c r="CK263" s="144">
        <v>0</v>
      </c>
      <c r="CL263"/>
    </row>
    <row r="264" spans="1:90">
      <c r="A264" s="83" t="s">
        <v>657</v>
      </c>
      <c r="B264" s="83" t="s">
        <v>551</v>
      </c>
      <c r="D264" s="83" t="s">
        <v>688</v>
      </c>
      <c r="E264" s="83" t="s">
        <v>551</v>
      </c>
      <c r="F264" s="83" t="s">
        <v>3397</v>
      </c>
      <c r="G264" s="83" t="s">
        <v>1170</v>
      </c>
      <c r="H264" s="83" t="s">
        <v>566</v>
      </c>
      <c r="I264" s="83" t="s">
        <v>567</v>
      </c>
      <c r="J264" s="83" t="s">
        <v>564</v>
      </c>
      <c r="K264" s="83" t="s">
        <v>565</v>
      </c>
      <c r="L264" s="83" t="s">
        <v>398</v>
      </c>
      <c r="M264" s="83" t="s">
        <v>399</v>
      </c>
      <c r="N264" s="83" t="s">
        <v>2899</v>
      </c>
      <c r="O264" s="83" t="s">
        <v>106</v>
      </c>
      <c r="P264" s="83">
        <v>8</v>
      </c>
      <c r="Q264" s="83" t="s">
        <v>106</v>
      </c>
      <c r="R264" s="83" t="s">
        <v>2753</v>
      </c>
      <c r="S264" s="83" t="s">
        <v>3398</v>
      </c>
      <c r="T264" s="83" t="s">
        <v>2703</v>
      </c>
      <c r="U264" s="83" t="s">
        <v>401</v>
      </c>
      <c r="AC264" s="83" t="s">
        <v>401</v>
      </c>
      <c r="AD264" s="83">
        <v>907000</v>
      </c>
      <c r="AF264" s="83">
        <v>52000</v>
      </c>
      <c r="AJ264" s="83">
        <v>1</v>
      </c>
      <c r="AK264" s="83">
        <v>2</v>
      </c>
      <c r="AL264" s="83">
        <v>6220</v>
      </c>
      <c r="AM264" s="83" t="s">
        <v>2693</v>
      </c>
      <c r="BK264" s="83" t="s">
        <v>2694</v>
      </c>
      <c r="BL264" s="83" t="s">
        <v>2697</v>
      </c>
      <c r="BM264" s="83" t="s">
        <v>2693</v>
      </c>
      <c r="BN264" s="83" t="s">
        <v>2698</v>
      </c>
      <c r="BO264" s="83" t="s">
        <v>2693</v>
      </c>
      <c r="BP264" s="83" t="s">
        <v>2697</v>
      </c>
      <c r="BQ264" s="83" t="s">
        <v>2699</v>
      </c>
      <c r="BR264" s="83" t="s">
        <v>2693</v>
      </c>
      <c r="BS264" s="83" t="s">
        <v>2699</v>
      </c>
      <c r="BT264" s="83" t="s">
        <v>2696</v>
      </c>
      <c r="BU264" s="83" t="s">
        <v>2699</v>
      </c>
      <c r="BV264" s="83" t="s">
        <v>2697</v>
      </c>
      <c r="BW264" s="83" t="s">
        <v>2698</v>
      </c>
      <c r="BX264" s="83" t="s">
        <v>2696</v>
      </c>
      <c r="BY264" s="83" t="s">
        <v>2699</v>
      </c>
      <c r="BZ264" s="83" t="s">
        <v>2699</v>
      </c>
      <c r="CA264" s="83" t="s">
        <v>2693</v>
      </c>
      <c r="CB264" s="83" t="s">
        <v>2694</v>
      </c>
      <c r="CC264" s="83" t="s">
        <v>2699</v>
      </c>
      <c r="CD264" s="83" t="s">
        <v>2696</v>
      </c>
      <c r="CF264" s="83" t="s">
        <v>620</v>
      </c>
      <c r="CG264" s="83" t="s">
        <v>621</v>
      </c>
      <c r="CH264" s="83" t="s">
        <v>2695</v>
      </c>
      <c r="CI264" s="83" t="s">
        <v>648</v>
      </c>
      <c r="CJ264" s="83" t="s">
        <v>2780</v>
      </c>
      <c r="CK264" s="144">
        <v>0</v>
      </c>
      <c r="CL264" s="99">
        <v>11000</v>
      </c>
    </row>
    <row r="265" spans="1:90">
      <c r="A265" s="83" t="s">
        <v>661</v>
      </c>
      <c r="B265" s="83" t="s">
        <v>553</v>
      </c>
      <c r="D265" s="83" t="s">
        <v>688</v>
      </c>
      <c r="E265" s="83" t="s">
        <v>553</v>
      </c>
      <c r="F265" s="83" t="s">
        <v>3404</v>
      </c>
      <c r="G265" s="83" t="s">
        <v>1171</v>
      </c>
      <c r="H265" s="83" t="s">
        <v>566</v>
      </c>
      <c r="I265" s="83" t="s">
        <v>567</v>
      </c>
      <c r="J265" s="83" t="s">
        <v>564</v>
      </c>
      <c r="K265" s="83" t="s">
        <v>565</v>
      </c>
      <c r="L265" s="83" t="s">
        <v>398</v>
      </c>
      <c r="M265" s="83" t="s">
        <v>399</v>
      </c>
      <c r="N265" s="83" t="s">
        <v>3001</v>
      </c>
      <c r="O265" s="83" t="s">
        <v>106</v>
      </c>
      <c r="P265" s="83">
        <v>8</v>
      </c>
      <c r="Q265" s="83" t="s">
        <v>106</v>
      </c>
      <c r="R265" s="83" t="s">
        <v>2753</v>
      </c>
      <c r="S265" s="83" t="s">
        <v>2751</v>
      </c>
      <c r="T265" s="83" t="s">
        <v>2720</v>
      </c>
      <c r="U265" s="83" t="s">
        <v>401</v>
      </c>
      <c r="AC265" s="83" t="s">
        <v>401</v>
      </c>
      <c r="AD265" s="83">
        <v>496000</v>
      </c>
      <c r="AF265" s="83">
        <v>30000</v>
      </c>
      <c r="AJ265" s="83">
        <v>1</v>
      </c>
      <c r="AK265" s="83">
        <v>1</v>
      </c>
      <c r="AL265" s="83">
        <v>3545</v>
      </c>
      <c r="AM265" s="83" t="s">
        <v>2693</v>
      </c>
      <c r="BK265" s="83" t="s">
        <v>2694</v>
      </c>
      <c r="BL265" s="83" t="s">
        <v>2697</v>
      </c>
      <c r="BM265" s="83" t="s">
        <v>2693</v>
      </c>
      <c r="BN265" s="83" t="s">
        <v>2698</v>
      </c>
      <c r="BO265" s="83" t="s">
        <v>2697</v>
      </c>
      <c r="BP265" s="83" t="s">
        <v>2697</v>
      </c>
      <c r="BQ265" s="83" t="s">
        <v>2699</v>
      </c>
      <c r="BR265" s="83" t="s">
        <v>2693</v>
      </c>
      <c r="BS265" s="83" t="s">
        <v>2699</v>
      </c>
      <c r="BT265" s="83" t="s">
        <v>2696</v>
      </c>
      <c r="BU265" s="83" t="s">
        <v>2699</v>
      </c>
      <c r="BV265" s="83" t="s">
        <v>2697</v>
      </c>
      <c r="BW265" s="83" t="s">
        <v>2698</v>
      </c>
      <c r="BX265" s="83" t="s">
        <v>2696</v>
      </c>
      <c r="BY265" s="83" t="s">
        <v>2699</v>
      </c>
      <c r="BZ265" s="83" t="s">
        <v>2699</v>
      </c>
      <c r="CA265" s="83" t="s">
        <v>2693</v>
      </c>
      <c r="CB265" s="83" t="s">
        <v>2694</v>
      </c>
      <c r="CC265" s="83" t="s">
        <v>2699</v>
      </c>
      <c r="CD265" s="83" t="s">
        <v>2696</v>
      </c>
      <c r="CF265" s="83" t="s">
        <v>627</v>
      </c>
      <c r="CG265" s="83" t="s">
        <v>628</v>
      </c>
      <c r="CH265" s="83" t="s">
        <v>2695</v>
      </c>
      <c r="CI265" s="83" t="s">
        <v>648</v>
      </c>
      <c r="CJ265" s="83" t="s">
        <v>2780</v>
      </c>
      <c r="CK265" s="144">
        <v>0</v>
      </c>
      <c r="CL265" s="99">
        <v>4000</v>
      </c>
    </row>
    <row r="266" spans="1:90">
      <c r="A266" s="83" t="s">
        <v>660</v>
      </c>
      <c r="B266" s="83" t="s">
        <v>552</v>
      </c>
      <c r="D266" s="83" t="s">
        <v>688</v>
      </c>
      <c r="E266" s="83" t="s">
        <v>552</v>
      </c>
      <c r="F266" s="83" t="s">
        <v>3403</v>
      </c>
      <c r="G266" s="83" t="s">
        <v>1171</v>
      </c>
      <c r="H266" s="83" t="s">
        <v>566</v>
      </c>
      <c r="I266" s="83" t="s">
        <v>567</v>
      </c>
      <c r="J266" s="83" t="s">
        <v>564</v>
      </c>
      <c r="K266" s="83" t="s">
        <v>565</v>
      </c>
      <c r="L266" s="83" t="s">
        <v>398</v>
      </c>
      <c r="M266" s="83" t="s">
        <v>399</v>
      </c>
      <c r="N266" s="83" t="s">
        <v>3001</v>
      </c>
      <c r="O266" s="83" t="s">
        <v>106</v>
      </c>
      <c r="P266" s="83">
        <v>4</v>
      </c>
      <c r="Q266" s="83" t="s">
        <v>106</v>
      </c>
      <c r="R266" s="83" t="s">
        <v>2753</v>
      </c>
      <c r="S266" s="83" t="s">
        <v>1462</v>
      </c>
      <c r="T266" s="83" t="s">
        <v>2703</v>
      </c>
      <c r="U266" s="83" t="s">
        <v>401</v>
      </c>
      <c r="AC266" s="83" t="s">
        <v>401</v>
      </c>
      <c r="AD266" s="83">
        <v>672000</v>
      </c>
      <c r="AF266" s="83">
        <v>43000</v>
      </c>
      <c r="AJ266" s="83">
        <v>1</v>
      </c>
      <c r="AK266" s="83">
        <v>2</v>
      </c>
      <c r="AL266" s="83">
        <v>5124</v>
      </c>
      <c r="AM266" s="83" t="s">
        <v>2693</v>
      </c>
      <c r="BK266" s="83" t="s">
        <v>2694</v>
      </c>
      <c r="BL266" s="83" t="s">
        <v>2704</v>
      </c>
      <c r="BM266" s="83" t="s">
        <v>2697</v>
      </c>
      <c r="BN266" s="83" t="s">
        <v>2698</v>
      </c>
      <c r="BO266" s="83" t="s">
        <v>2697</v>
      </c>
      <c r="BP266" s="83" t="s">
        <v>2695</v>
      </c>
      <c r="BQ266" s="83" t="s">
        <v>2699</v>
      </c>
      <c r="BR266" s="83" t="s">
        <v>2693</v>
      </c>
      <c r="BS266" s="83" t="s">
        <v>2699</v>
      </c>
      <c r="BT266" s="83" t="s">
        <v>2696</v>
      </c>
      <c r="BU266" s="83" t="s">
        <v>2699</v>
      </c>
      <c r="BV266" s="83" t="s">
        <v>2697</v>
      </c>
      <c r="BW266" s="83" t="s">
        <v>2698</v>
      </c>
      <c r="BX266" s="83" t="s">
        <v>2696</v>
      </c>
      <c r="BY266" s="83" t="s">
        <v>2699</v>
      </c>
      <c r="BZ266" s="83" t="s">
        <v>2699</v>
      </c>
      <c r="CA266" s="83" t="s">
        <v>2693</v>
      </c>
      <c r="CB266" s="83" t="s">
        <v>2694</v>
      </c>
      <c r="CC266" s="83" t="s">
        <v>2699</v>
      </c>
      <c r="CD266" s="83" t="s">
        <v>2696</v>
      </c>
      <c r="CF266" s="83" t="s">
        <v>626</v>
      </c>
      <c r="CG266" s="83" t="s">
        <v>625</v>
      </c>
      <c r="CH266" s="83" t="s">
        <v>2693</v>
      </c>
      <c r="CI266" s="83" t="s">
        <v>3992</v>
      </c>
      <c r="CJ266" s="83" t="s">
        <v>2701</v>
      </c>
      <c r="CK266" s="144">
        <v>0</v>
      </c>
      <c r="CL266" s="99">
        <v>4000</v>
      </c>
    </row>
    <row r="267" spans="1:90">
      <c r="A267" s="83" t="s">
        <v>668</v>
      </c>
      <c r="B267" s="83" t="s">
        <v>563</v>
      </c>
      <c r="D267" s="83" t="s">
        <v>688</v>
      </c>
      <c r="E267" s="83" t="s">
        <v>563</v>
      </c>
      <c r="F267" s="83" t="s">
        <v>1750</v>
      </c>
      <c r="G267" s="83" t="s">
        <v>1172</v>
      </c>
      <c r="H267" s="83" t="s">
        <v>566</v>
      </c>
      <c r="I267" s="83" t="s">
        <v>567</v>
      </c>
      <c r="J267" s="83" t="s">
        <v>564</v>
      </c>
      <c r="K267" s="83" t="s">
        <v>565</v>
      </c>
      <c r="L267" s="83" t="s">
        <v>398</v>
      </c>
      <c r="M267" s="83" t="s">
        <v>399</v>
      </c>
      <c r="N267" s="83" t="s">
        <v>2735</v>
      </c>
      <c r="O267" s="83" t="s">
        <v>106</v>
      </c>
      <c r="P267" s="83">
        <v>4</v>
      </c>
      <c r="Q267" s="83" t="s">
        <v>106</v>
      </c>
      <c r="R267" s="83" t="s">
        <v>2753</v>
      </c>
      <c r="S267" s="83" t="s">
        <v>2800</v>
      </c>
      <c r="T267" s="83" t="s">
        <v>1462</v>
      </c>
      <c r="U267" s="83" t="s">
        <v>401</v>
      </c>
      <c r="AC267" s="83" t="s">
        <v>401</v>
      </c>
      <c r="AD267" s="83">
        <v>715000</v>
      </c>
      <c r="AF267" s="83">
        <v>41000</v>
      </c>
      <c r="AJ267" s="83">
        <v>1</v>
      </c>
      <c r="AK267" s="83">
        <v>2</v>
      </c>
      <c r="AL267" s="83">
        <v>4832</v>
      </c>
      <c r="AM267" s="83" t="s">
        <v>2693</v>
      </c>
      <c r="BK267" s="83" t="s">
        <v>2694</v>
      </c>
      <c r="BL267" s="83" t="s">
        <v>2697</v>
      </c>
      <c r="BM267" s="83" t="s">
        <v>2699</v>
      </c>
      <c r="BN267" s="83" t="s">
        <v>2698</v>
      </c>
      <c r="BO267" s="83" t="s">
        <v>2693</v>
      </c>
      <c r="BP267" s="83" t="s">
        <v>2695</v>
      </c>
      <c r="BQ267" s="83" t="s">
        <v>2699</v>
      </c>
      <c r="BR267" s="83" t="s">
        <v>2699</v>
      </c>
      <c r="BS267" s="83" t="s">
        <v>2699</v>
      </c>
      <c r="BT267" s="83" t="s">
        <v>2696</v>
      </c>
      <c r="BU267" s="83" t="s">
        <v>2699</v>
      </c>
      <c r="BV267" s="83" t="s">
        <v>2697</v>
      </c>
      <c r="BW267" s="83" t="s">
        <v>2698</v>
      </c>
      <c r="BX267" s="83" t="s">
        <v>2696</v>
      </c>
      <c r="BY267" s="83" t="s">
        <v>2699</v>
      </c>
      <c r="BZ267" s="83" t="s">
        <v>2699</v>
      </c>
      <c r="CA267" s="83" t="s">
        <v>2693</v>
      </c>
      <c r="CB267" s="83" t="s">
        <v>2694</v>
      </c>
      <c r="CC267" s="83" t="s">
        <v>2699</v>
      </c>
      <c r="CD267" s="83" t="s">
        <v>2696</v>
      </c>
      <c r="CF267" s="83" t="s">
        <v>642</v>
      </c>
      <c r="CG267" s="83" t="s">
        <v>643</v>
      </c>
      <c r="CH267" s="83" t="s">
        <v>2693</v>
      </c>
      <c r="CI267" s="83" t="s">
        <v>3992</v>
      </c>
      <c r="CJ267" s="83" t="s">
        <v>2701</v>
      </c>
      <c r="CK267" s="144">
        <v>0</v>
      </c>
      <c r="CL267" s="99">
        <v>16000</v>
      </c>
    </row>
    <row r="268" spans="1:90">
      <c r="A268" s="83" t="s">
        <v>662</v>
      </c>
      <c r="B268" s="83" t="s">
        <v>556</v>
      </c>
      <c r="D268" s="83" t="s">
        <v>688</v>
      </c>
      <c r="E268" s="83" t="s">
        <v>556</v>
      </c>
      <c r="F268" s="83" t="s">
        <v>3405</v>
      </c>
      <c r="G268" s="83" t="s">
        <v>1173</v>
      </c>
      <c r="H268" s="83" t="s">
        <v>566</v>
      </c>
      <c r="I268" s="83" t="s">
        <v>567</v>
      </c>
      <c r="J268" s="83" t="s">
        <v>564</v>
      </c>
      <c r="K268" s="83" t="s">
        <v>565</v>
      </c>
      <c r="L268" s="83" t="s">
        <v>398</v>
      </c>
      <c r="M268" s="83" t="s">
        <v>399</v>
      </c>
      <c r="N268" s="83" t="s">
        <v>2743</v>
      </c>
      <c r="O268" s="83" t="s">
        <v>106</v>
      </c>
      <c r="P268" s="83">
        <v>4</v>
      </c>
      <c r="Q268" s="83" t="s">
        <v>106</v>
      </c>
      <c r="R268" s="83" t="s">
        <v>2753</v>
      </c>
      <c r="S268" s="83" t="s">
        <v>2893</v>
      </c>
      <c r="T268" s="83" t="s">
        <v>2703</v>
      </c>
      <c r="U268" s="83" t="s">
        <v>401</v>
      </c>
      <c r="AC268" s="83" t="s">
        <v>401</v>
      </c>
      <c r="AD268" s="83">
        <v>305000</v>
      </c>
      <c r="AF268" s="83">
        <v>24000</v>
      </c>
      <c r="AJ268" s="83">
        <v>1</v>
      </c>
      <c r="AK268" s="83">
        <v>1</v>
      </c>
      <c r="AL268" s="83">
        <v>2802</v>
      </c>
      <c r="AM268" s="83" t="s">
        <v>2693</v>
      </c>
      <c r="BK268" s="83" t="s">
        <v>2694</v>
      </c>
      <c r="BL268" s="83" t="s">
        <v>2704</v>
      </c>
      <c r="BM268" s="83" t="s">
        <v>2697</v>
      </c>
      <c r="BN268" s="83" t="s">
        <v>2698</v>
      </c>
      <c r="BO268" s="83" t="s">
        <v>2697</v>
      </c>
      <c r="BP268" s="83" t="s">
        <v>2695</v>
      </c>
      <c r="BQ268" s="83" t="s">
        <v>2699</v>
      </c>
      <c r="BR268" s="83" t="s">
        <v>2693</v>
      </c>
      <c r="BS268" s="83" t="s">
        <v>2699</v>
      </c>
      <c r="BT268" s="83" t="s">
        <v>2696</v>
      </c>
      <c r="BU268" s="83" t="s">
        <v>2699</v>
      </c>
      <c r="BV268" s="83" t="s">
        <v>2697</v>
      </c>
      <c r="BW268" s="83" t="s">
        <v>2698</v>
      </c>
      <c r="BX268" s="83" t="s">
        <v>2696</v>
      </c>
      <c r="BY268" s="83" t="s">
        <v>2699</v>
      </c>
      <c r="BZ268" s="83" t="s">
        <v>2699</v>
      </c>
      <c r="CA268" s="83" t="s">
        <v>2693</v>
      </c>
      <c r="CB268" s="83" t="s">
        <v>2694</v>
      </c>
      <c r="CC268" s="83" t="s">
        <v>2699</v>
      </c>
      <c r="CD268" s="83" t="s">
        <v>2696</v>
      </c>
      <c r="CF268" s="83" t="s">
        <v>633</v>
      </c>
      <c r="CG268" s="83" t="s">
        <v>634</v>
      </c>
      <c r="CH268" s="83" t="s">
        <v>2693</v>
      </c>
      <c r="CI268" s="83" t="s">
        <v>3992</v>
      </c>
      <c r="CJ268" s="83" t="s">
        <v>2701</v>
      </c>
      <c r="CK268" s="144">
        <v>0</v>
      </c>
      <c r="CL268" s="99">
        <v>4000</v>
      </c>
    </row>
    <row r="269" spans="1:90">
      <c r="A269" s="83" t="s">
        <v>655</v>
      </c>
      <c r="B269" s="83" t="s">
        <v>549</v>
      </c>
      <c r="D269" s="83" t="s">
        <v>688</v>
      </c>
      <c r="E269" s="83" t="s">
        <v>549</v>
      </c>
      <c r="F269" s="83" t="s">
        <v>3391</v>
      </c>
      <c r="G269" s="83" t="s">
        <v>1174</v>
      </c>
      <c r="H269" s="83" t="s">
        <v>566</v>
      </c>
      <c r="I269" s="83" t="s">
        <v>567</v>
      </c>
      <c r="J269" s="83" t="s">
        <v>564</v>
      </c>
      <c r="K269" s="83" t="s">
        <v>565</v>
      </c>
      <c r="L269" s="83" t="s">
        <v>398</v>
      </c>
      <c r="M269" s="83" t="s">
        <v>399</v>
      </c>
      <c r="N269" s="83" t="s">
        <v>2690</v>
      </c>
      <c r="O269" s="83" t="s">
        <v>106</v>
      </c>
      <c r="P269" s="83">
        <v>4</v>
      </c>
      <c r="Q269" s="83" t="s">
        <v>106</v>
      </c>
      <c r="R269" s="83" t="s">
        <v>2753</v>
      </c>
      <c r="S269" s="83" t="s">
        <v>2822</v>
      </c>
      <c r="T269" s="83" t="s">
        <v>2703</v>
      </c>
      <c r="U269" s="83" t="s">
        <v>401</v>
      </c>
      <c r="AC269" s="83" t="s">
        <v>401</v>
      </c>
      <c r="AD269" s="83">
        <v>310000</v>
      </c>
      <c r="AF269" s="83">
        <v>23000</v>
      </c>
      <c r="AJ269" s="83">
        <v>1</v>
      </c>
      <c r="AK269" s="83">
        <v>1</v>
      </c>
      <c r="AL269" s="83">
        <v>2758</v>
      </c>
      <c r="AM269" s="83" t="s">
        <v>2693</v>
      </c>
      <c r="BK269" s="83" t="s">
        <v>2694</v>
      </c>
      <c r="BL269" s="83" t="s">
        <v>2704</v>
      </c>
      <c r="BM269" s="83" t="s">
        <v>2697</v>
      </c>
      <c r="BN269" s="83" t="s">
        <v>2698</v>
      </c>
      <c r="BO269" s="83" t="s">
        <v>2697</v>
      </c>
      <c r="BP269" s="83" t="s">
        <v>2695</v>
      </c>
      <c r="BQ269" s="83" t="s">
        <v>2699</v>
      </c>
      <c r="BR269" s="83" t="s">
        <v>2693</v>
      </c>
      <c r="BS269" s="83" t="s">
        <v>2699</v>
      </c>
      <c r="BT269" s="83" t="s">
        <v>2696</v>
      </c>
      <c r="BU269" s="83" t="s">
        <v>2699</v>
      </c>
      <c r="BV269" s="83" t="s">
        <v>2697</v>
      </c>
      <c r="BW269" s="83" t="s">
        <v>2698</v>
      </c>
      <c r="BX269" s="83" t="s">
        <v>2696</v>
      </c>
      <c r="BY269" s="83" t="s">
        <v>2699</v>
      </c>
      <c r="BZ269" s="83" t="s">
        <v>2699</v>
      </c>
      <c r="CA269" s="83" t="s">
        <v>2693</v>
      </c>
      <c r="CB269" s="83" t="s">
        <v>2694</v>
      </c>
      <c r="CC269" s="83" t="s">
        <v>2699</v>
      </c>
      <c r="CD269" s="83" t="s">
        <v>2696</v>
      </c>
      <c r="CF269" s="83" t="s">
        <v>612</v>
      </c>
      <c r="CG269" s="83" t="s">
        <v>613</v>
      </c>
      <c r="CH269" s="83" t="s">
        <v>2693</v>
      </c>
      <c r="CI269" s="83" t="s">
        <v>3992</v>
      </c>
      <c r="CJ269" s="83" t="s">
        <v>2701</v>
      </c>
      <c r="CK269" s="144">
        <v>0</v>
      </c>
      <c r="CL269" s="99">
        <v>6000</v>
      </c>
    </row>
    <row r="270" spans="1:90">
      <c r="A270" s="83" t="s">
        <v>666</v>
      </c>
      <c r="B270" s="83" t="s">
        <v>560</v>
      </c>
      <c r="D270" s="83" t="s">
        <v>688</v>
      </c>
      <c r="E270" s="83" t="s">
        <v>560</v>
      </c>
      <c r="F270" s="83" t="s">
        <v>3407</v>
      </c>
      <c r="G270" s="83" t="s">
        <v>1175</v>
      </c>
      <c r="H270" s="83" t="s">
        <v>566</v>
      </c>
      <c r="I270" s="83" t="s">
        <v>567</v>
      </c>
      <c r="J270" s="83" t="s">
        <v>564</v>
      </c>
      <c r="K270" s="83" t="s">
        <v>565</v>
      </c>
      <c r="L270" s="83" t="s">
        <v>398</v>
      </c>
      <c r="M270" s="83" t="s">
        <v>399</v>
      </c>
      <c r="N270" s="83" t="s">
        <v>2709</v>
      </c>
      <c r="O270" s="83" t="s">
        <v>106</v>
      </c>
      <c r="P270" s="83">
        <v>5</v>
      </c>
      <c r="Q270" s="83" t="s">
        <v>106</v>
      </c>
      <c r="R270" s="83" t="s">
        <v>2753</v>
      </c>
      <c r="S270" s="83" t="s">
        <v>1447</v>
      </c>
      <c r="T270" s="83" t="s">
        <v>2772</v>
      </c>
      <c r="U270" s="83" t="s">
        <v>401</v>
      </c>
      <c r="AC270" s="83" t="s">
        <v>401</v>
      </c>
      <c r="AD270" s="83">
        <v>859000</v>
      </c>
      <c r="AF270" s="83">
        <v>53000</v>
      </c>
      <c r="AJ270" s="83">
        <v>1</v>
      </c>
      <c r="AK270" s="83">
        <v>1</v>
      </c>
      <c r="AL270" s="83">
        <v>6326</v>
      </c>
      <c r="AM270" s="83" t="s">
        <v>2693</v>
      </c>
      <c r="BK270" s="83" t="s">
        <v>2694</v>
      </c>
      <c r="BL270" s="83" t="s">
        <v>2697</v>
      </c>
      <c r="BM270" s="83" t="s">
        <v>2693</v>
      </c>
      <c r="BN270" s="83" t="s">
        <v>2698</v>
      </c>
      <c r="BO270" s="83" t="s">
        <v>2697</v>
      </c>
      <c r="BP270" s="83" t="s">
        <v>2699</v>
      </c>
      <c r="BQ270" s="83" t="s">
        <v>2699</v>
      </c>
      <c r="BR270" s="83" t="s">
        <v>2693</v>
      </c>
      <c r="BS270" s="83" t="s">
        <v>2699</v>
      </c>
      <c r="BT270" s="83" t="s">
        <v>2696</v>
      </c>
      <c r="BU270" s="83" t="s">
        <v>2699</v>
      </c>
      <c r="BV270" s="83" t="s">
        <v>2697</v>
      </c>
      <c r="BW270" s="83" t="s">
        <v>2698</v>
      </c>
      <c r="BX270" s="83" t="s">
        <v>2696</v>
      </c>
      <c r="BY270" s="83" t="s">
        <v>2699</v>
      </c>
      <c r="BZ270" s="83" t="s">
        <v>2699</v>
      </c>
      <c r="CA270" s="83" t="s">
        <v>2693</v>
      </c>
      <c r="CB270" s="83" t="s">
        <v>2694</v>
      </c>
      <c r="CC270" s="83" t="s">
        <v>2699</v>
      </c>
      <c r="CD270" s="83" t="s">
        <v>2696</v>
      </c>
      <c r="CF270" s="83" t="s">
        <v>640</v>
      </c>
      <c r="CG270" s="83" t="s">
        <v>641</v>
      </c>
      <c r="CH270" s="83" t="s">
        <v>2725</v>
      </c>
      <c r="CI270" s="83" t="s">
        <v>1358</v>
      </c>
      <c r="CJ270" s="83" t="s">
        <v>2726</v>
      </c>
      <c r="CK270" s="144">
        <v>0</v>
      </c>
      <c r="CL270" s="99">
        <v>12000</v>
      </c>
    </row>
    <row r="271" spans="1:90">
      <c r="A271" s="83" t="s">
        <v>1510</v>
      </c>
      <c r="B271" s="83" t="s">
        <v>751</v>
      </c>
      <c r="D271" s="83" t="s">
        <v>688</v>
      </c>
      <c r="E271" s="83" t="s">
        <v>751</v>
      </c>
      <c r="F271" s="83" t="s">
        <v>1751</v>
      </c>
      <c r="G271" s="83" t="s">
        <v>1810</v>
      </c>
      <c r="H271" s="83" t="s">
        <v>1201</v>
      </c>
      <c r="I271" s="83" t="s">
        <v>1202</v>
      </c>
      <c r="J271" s="83" t="s">
        <v>1203</v>
      </c>
      <c r="K271" s="83" t="s">
        <v>565</v>
      </c>
      <c r="L271" s="83" t="s">
        <v>398</v>
      </c>
      <c r="M271" s="83" t="s">
        <v>399</v>
      </c>
      <c r="N271" s="83" t="s">
        <v>2719</v>
      </c>
      <c r="O271" s="83" t="s">
        <v>106</v>
      </c>
      <c r="P271" s="83">
        <v>8</v>
      </c>
      <c r="Q271" s="83" t="s">
        <v>106</v>
      </c>
      <c r="R271" s="83" t="s">
        <v>2753</v>
      </c>
      <c r="S271" s="83" t="s">
        <v>1465</v>
      </c>
      <c r="T271" s="83" t="s">
        <v>2703</v>
      </c>
      <c r="U271" s="83" t="s">
        <v>401</v>
      </c>
      <c r="AC271" s="83" t="s">
        <v>401</v>
      </c>
      <c r="AD271" s="83">
        <v>514000</v>
      </c>
      <c r="AF271" s="83">
        <v>118000</v>
      </c>
      <c r="AJ271" s="83">
        <v>1</v>
      </c>
      <c r="AK271" s="83">
        <v>1</v>
      </c>
      <c r="AL271" s="83">
        <v>3908</v>
      </c>
      <c r="AM271" s="83" t="s">
        <v>2693</v>
      </c>
      <c r="BK271" s="83" t="s">
        <v>2694</v>
      </c>
      <c r="BL271" s="83" t="s">
        <v>2697</v>
      </c>
      <c r="BM271" s="83" t="s">
        <v>2699</v>
      </c>
      <c r="BN271" s="83" t="s">
        <v>2698</v>
      </c>
      <c r="BO271" s="83" t="s">
        <v>2697</v>
      </c>
      <c r="BP271" s="83" t="s">
        <v>2695</v>
      </c>
      <c r="BQ271" s="83" t="s">
        <v>2699</v>
      </c>
      <c r="BR271" s="83" t="s">
        <v>2699</v>
      </c>
      <c r="BS271" s="83" t="s">
        <v>2699</v>
      </c>
      <c r="BT271" s="83">
        <v>0</v>
      </c>
      <c r="BU271" s="83" t="s">
        <v>2699</v>
      </c>
      <c r="BV271" s="83" t="s">
        <v>2696</v>
      </c>
      <c r="BW271" s="83" t="s">
        <v>2695</v>
      </c>
      <c r="BX271" s="83" t="s">
        <v>2696</v>
      </c>
      <c r="BY271" s="83" t="s">
        <v>2699</v>
      </c>
      <c r="BZ271" s="83" t="s">
        <v>2693</v>
      </c>
      <c r="CA271" s="83" t="s">
        <v>2693</v>
      </c>
      <c r="CB271" s="83">
        <v>9</v>
      </c>
      <c r="CC271" s="83" t="s">
        <v>2699</v>
      </c>
      <c r="CD271" s="83" t="s">
        <v>2699</v>
      </c>
      <c r="CF271" s="83" t="s">
        <v>2023</v>
      </c>
      <c r="CG271" s="83" t="s">
        <v>2024</v>
      </c>
      <c r="CH271" s="83" t="s">
        <v>2695</v>
      </c>
      <c r="CI271" s="83" t="s">
        <v>648</v>
      </c>
      <c r="CJ271" s="83" t="s">
        <v>2731</v>
      </c>
      <c r="CK271" s="144">
        <v>0</v>
      </c>
      <c r="CL271" s="99">
        <v>6000</v>
      </c>
    </row>
    <row r="272" spans="1:90">
      <c r="A272" s="83" t="s">
        <v>1480</v>
      </c>
      <c r="B272" s="83" t="s">
        <v>753</v>
      </c>
      <c r="D272" s="83" t="s">
        <v>688</v>
      </c>
      <c r="E272" s="83" t="s">
        <v>753</v>
      </c>
      <c r="F272" s="83" t="s">
        <v>1752</v>
      </c>
      <c r="G272" s="83" t="s">
        <v>1866</v>
      </c>
      <c r="H272" s="83" t="s">
        <v>1201</v>
      </c>
      <c r="I272" s="83" t="s">
        <v>1202</v>
      </c>
      <c r="J272" s="83" t="s">
        <v>1203</v>
      </c>
      <c r="K272" s="83" t="s">
        <v>565</v>
      </c>
      <c r="L272" s="83" t="s">
        <v>398</v>
      </c>
      <c r="M272" s="83" t="s">
        <v>399</v>
      </c>
      <c r="N272" s="83" t="s">
        <v>2711</v>
      </c>
      <c r="O272" s="83" t="s">
        <v>106</v>
      </c>
      <c r="P272" s="83">
        <v>8</v>
      </c>
      <c r="Q272" s="83" t="s">
        <v>106</v>
      </c>
      <c r="R272" s="83" t="s">
        <v>2753</v>
      </c>
      <c r="S272" s="83" t="s">
        <v>2802</v>
      </c>
      <c r="T272" s="83" t="s">
        <v>2703</v>
      </c>
      <c r="U272" s="83" t="s">
        <v>401</v>
      </c>
      <c r="AC272" s="83" t="s">
        <v>401</v>
      </c>
      <c r="AD272" s="83">
        <v>681000</v>
      </c>
      <c r="AF272" s="83">
        <v>148000</v>
      </c>
      <c r="AJ272" s="83">
        <v>1</v>
      </c>
      <c r="AK272" s="83">
        <v>1</v>
      </c>
      <c r="AL272" s="83">
        <v>4920</v>
      </c>
      <c r="AM272" s="83" t="s">
        <v>2693</v>
      </c>
      <c r="BK272" s="83" t="s">
        <v>2694</v>
      </c>
      <c r="BL272" s="83" t="s">
        <v>2704</v>
      </c>
      <c r="BM272" s="83" t="s">
        <v>2697</v>
      </c>
      <c r="BN272" s="83" t="s">
        <v>2699</v>
      </c>
      <c r="BO272" s="83" t="s">
        <v>2697</v>
      </c>
      <c r="BP272" s="83" t="s">
        <v>2695</v>
      </c>
      <c r="BQ272" s="83" t="s">
        <v>2693</v>
      </c>
      <c r="BR272" s="83" t="s">
        <v>2693</v>
      </c>
      <c r="BS272" s="83" t="s">
        <v>2699</v>
      </c>
      <c r="BT272" s="83">
        <v>0</v>
      </c>
      <c r="BU272" s="83" t="s">
        <v>2699</v>
      </c>
      <c r="BV272" s="83" t="s">
        <v>2696</v>
      </c>
      <c r="BW272" s="83" t="s">
        <v>2695</v>
      </c>
      <c r="BX272" s="83" t="s">
        <v>2693</v>
      </c>
      <c r="BY272" s="83" t="s">
        <v>2699</v>
      </c>
      <c r="BZ272" s="83" t="s">
        <v>2696</v>
      </c>
      <c r="CA272" s="83" t="s">
        <v>2699</v>
      </c>
      <c r="CB272" s="83">
        <v>9</v>
      </c>
      <c r="CC272" s="83" t="s">
        <v>2699</v>
      </c>
      <c r="CD272" s="83" t="s">
        <v>2696</v>
      </c>
      <c r="CF272" s="83" t="s">
        <v>2185</v>
      </c>
      <c r="CG272" s="83" t="s">
        <v>2186</v>
      </c>
      <c r="CH272" s="83" t="s">
        <v>2695</v>
      </c>
      <c r="CI272" s="83" t="s">
        <v>648</v>
      </c>
      <c r="CJ272" s="83" t="s">
        <v>2731</v>
      </c>
      <c r="CK272" s="144">
        <v>0</v>
      </c>
      <c r="CL272"/>
    </row>
    <row r="273" spans="1:90">
      <c r="A273" s="83" t="s">
        <v>1111</v>
      </c>
      <c r="B273" s="83" t="s">
        <v>756</v>
      </c>
      <c r="D273" s="83" t="s">
        <v>688</v>
      </c>
      <c r="E273" s="83" t="s">
        <v>756</v>
      </c>
      <c r="F273" s="83" t="s">
        <v>3454</v>
      </c>
      <c r="G273" s="83" t="s">
        <v>1176</v>
      </c>
      <c r="H273" s="83" t="s">
        <v>1201</v>
      </c>
      <c r="I273" s="83" t="s">
        <v>1202</v>
      </c>
      <c r="J273" s="83" t="s">
        <v>1203</v>
      </c>
      <c r="K273" s="83" t="s">
        <v>565</v>
      </c>
      <c r="L273" s="83" t="s">
        <v>398</v>
      </c>
      <c r="M273" s="83" t="s">
        <v>399</v>
      </c>
      <c r="N273" s="83" t="s">
        <v>3455</v>
      </c>
      <c r="O273" s="83" t="s">
        <v>106</v>
      </c>
      <c r="P273" s="83">
        <v>4</v>
      </c>
      <c r="Q273" s="83" t="s">
        <v>106</v>
      </c>
      <c r="R273" s="83" t="s">
        <v>2753</v>
      </c>
      <c r="S273" s="83" t="s">
        <v>2804</v>
      </c>
      <c r="T273" s="83" t="s">
        <v>2703</v>
      </c>
      <c r="U273" s="83" t="s">
        <v>401</v>
      </c>
      <c r="AC273" s="83" t="s">
        <v>401</v>
      </c>
      <c r="AD273" s="83">
        <v>1225000</v>
      </c>
      <c r="AF273" s="83">
        <v>88000</v>
      </c>
      <c r="AJ273" s="83">
        <v>1</v>
      </c>
      <c r="AK273" s="83">
        <v>1</v>
      </c>
      <c r="AL273" s="83">
        <v>10523</v>
      </c>
      <c r="AM273" s="83" t="s">
        <v>2693</v>
      </c>
      <c r="BK273" s="83" t="s">
        <v>2694</v>
      </c>
      <c r="BL273" s="83" t="s">
        <v>2704</v>
      </c>
      <c r="BM273" s="83" t="s">
        <v>2697</v>
      </c>
      <c r="BN273" s="83" t="s">
        <v>2698</v>
      </c>
      <c r="BO273" s="83" t="s">
        <v>2699</v>
      </c>
      <c r="BP273" s="83" t="s">
        <v>2695</v>
      </c>
      <c r="BQ273" s="83" t="s">
        <v>2699</v>
      </c>
      <c r="BR273" s="83" t="s">
        <v>2693</v>
      </c>
      <c r="BS273" s="83" t="s">
        <v>2699</v>
      </c>
      <c r="BT273" s="83" t="s">
        <v>2696</v>
      </c>
      <c r="BU273" s="83" t="s">
        <v>2699</v>
      </c>
      <c r="BV273" s="83" t="s">
        <v>2699</v>
      </c>
      <c r="BW273" s="83" t="s">
        <v>2698</v>
      </c>
      <c r="BX273" s="83" t="s">
        <v>2696</v>
      </c>
      <c r="BY273" s="83" t="s">
        <v>2699</v>
      </c>
      <c r="BZ273" s="83" t="s">
        <v>2699</v>
      </c>
      <c r="CA273" s="83" t="s">
        <v>2693</v>
      </c>
      <c r="CB273" s="83" t="s">
        <v>2694</v>
      </c>
      <c r="CC273" s="83" t="s">
        <v>2699</v>
      </c>
      <c r="CD273" s="83" t="s">
        <v>2699</v>
      </c>
      <c r="CF273" s="83" t="s">
        <v>757</v>
      </c>
      <c r="CG273" s="83" t="s">
        <v>758</v>
      </c>
      <c r="CH273" s="83" t="s">
        <v>2693</v>
      </c>
      <c r="CI273" s="83" t="s">
        <v>3992</v>
      </c>
      <c r="CJ273" s="83" t="s">
        <v>2701</v>
      </c>
      <c r="CK273" s="144">
        <v>3</v>
      </c>
      <c r="CL273" s="99">
        <v>46000</v>
      </c>
    </row>
    <row r="274" spans="1:90">
      <c r="A274" s="83" t="s">
        <v>1495</v>
      </c>
      <c r="B274" s="83" t="s">
        <v>748</v>
      </c>
      <c r="D274" s="83" t="s">
        <v>688</v>
      </c>
      <c r="E274" s="83" t="s">
        <v>748</v>
      </c>
      <c r="F274" s="83" t="s">
        <v>1753</v>
      </c>
      <c r="G274" s="83" t="s">
        <v>1867</v>
      </c>
      <c r="H274" s="83" t="s">
        <v>1201</v>
      </c>
      <c r="I274" s="83" t="s">
        <v>1202</v>
      </c>
      <c r="J274" s="83" t="s">
        <v>1203</v>
      </c>
      <c r="K274" s="83" t="s">
        <v>565</v>
      </c>
      <c r="L274" s="83" t="s">
        <v>398</v>
      </c>
      <c r="M274" s="83" t="s">
        <v>399</v>
      </c>
      <c r="N274" s="83" t="s">
        <v>2735</v>
      </c>
      <c r="O274" s="83" t="s">
        <v>106</v>
      </c>
      <c r="P274" s="83">
        <v>5</v>
      </c>
      <c r="Q274" s="83" t="s">
        <v>106</v>
      </c>
      <c r="R274" s="83" t="s">
        <v>2753</v>
      </c>
      <c r="S274" s="83" t="s">
        <v>2724</v>
      </c>
      <c r="T274" s="83" t="s">
        <v>2712</v>
      </c>
      <c r="U274" s="83" t="s">
        <v>401</v>
      </c>
      <c r="AC274" s="83" t="s">
        <v>401</v>
      </c>
      <c r="AD274" s="83">
        <v>579000</v>
      </c>
      <c r="AF274" s="83">
        <v>139000</v>
      </c>
      <c r="AJ274" s="83">
        <v>1</v>
      </c>
      <c r="AK274" s="83">
        <v>1</v>
      </c>
      <c r="AL274" s="83">
        <v>4620</v>
      </c>
      <c r="AM274" s="83" t="s">
        <v>2693</v>
      </c>
      <c r="BK274" s="83" t="s">
        <v>2694</v>
      </c>
      <c r="BL274" s="83" t="s">
        <v>2697</v>
      </c>
      <c r="BM274" s="83" t="s">
        <v>2693</v>
      </c>
      <c r="BN274" s="83" t="s">
        <v>2697</v>
      </c>
      <c r="BO274" s="83" t="s">
        <v>2697</v>
      </c>
      <c r="BP274" s="83" t="s">
        <v>2699</v>
      </c>
      <c r="BQ274" s="83" t="s">
        <v>2699</v>
      </c>
      <c r="BR274" s="83" t="s">
        <v>2693</v>
      </c>
      <c r="BS274" s="83" t="s">
        <v>2699</v>
      </c>
      <c r="BT274" s="83">
        <v>0</v>
      </c>
      <c r="BU274" s="83" t="s">
        <v>2699</v>
      </c>
      <c r="BV274" s="83" t="s">
        <v>2696</v>
      </c>
      <c r="BW274" s="83" t="s">
        <v>2695</v>
      </c>
      <c r="BX274" s="83" t="s">
        <v>2699</v>
      </c>
      <c r="BY274" s="83" t="s">
        <v>2699</v>
      </c>
      <c r="BZ274" s="83" t="s">
        <v>2699</v>
      </c>
      <c r="CA274" s="83" t="s">
        <v>2693</v>
      </c>
      <c r="CB274" s="83">
        <v>9</v>
      </c>
      <c r="CC274" s="83" t="s">
        <v>2699</v>
      </c>
      <c r="CD274" s="83" t="s">
        <v>2696</v>
      </c>
      <c r="CF274" s="83" t="s">
        <v>2249</v>
      </c>
      <c r="CG274" s="83" t="s">
        <v>2250</v>
      </c>
      <c r="CH274" s="83" t="s">
        <v>2725</v>
      </c>
      <c r="CI274" s="83" t="s">
        <v>1358</v>
      </c>
      <c r="CJ274" s="83" t="s">
        <v>2726</v>
      </c>
      <c r="CK274" s="144">
        <v>0</v>
      </c>
      <c r="CL274" s="99">
        <v>26000</v>
      </c>
    </row>
    <row r="275" spans="1:90">
      <c r="A275" s="83" t="s">
        <v>1491</v>
      </c>
      <c r="B275" s="83" t="s">
        <v>749</v>
      </c>
      <c r="D275" s="83" t="s">
        <v>688</v>
      </c>
      <c r="E275" s="83" t="s">
        <v>749</v>
      </c>
      <c r="F275" s="83" t="s">
        <v>1754</v>
      </c>
      <c r="G275" s="83" t="s">
        <v>1868</v>
      </c>
      <c r="H275" s="83" t="s">
        <v>1201</v>
      </c>
      <c r="I275" s="83" t="s">
        <v>1202</v>
      </c>
      <c r="J275" s="83" t="s">
        <v>1203</v>
      </c>
      <c r="K275" s="83" t="s">
        <v>565</v>
      </c>
      <c r="L275" s="83" t="s">
        <v>398</v>
      </c>
      <c r="M275" s="83" t="s">
        <v>399</v>
      </c>
      <c r="N275" s="83" t="s">
        <v>2735</v>
      </c>
      <c r="O275" s="83" t="s">
        <v>106</v>
      </c>
      <c r="P275" s="83">
        <v>8</v>
      </c>
      <c r="Q275" s="83" t="s">
        <v>106</v>
      </c>
      <c r="R275" s="83" t="s">
        <v>2753</v>
      </c>
      <c r="S275" s="83" t="s">
        <v>1455</v>
      </c>
      <c r="T275" s="83" t="s">
        <v>2803</v>
      </c>
      <c r="U275" s="83" t="s">
        <v>401</v>
      </c>
      <c r="AC275" s="83" t="s">
        <v>401</v>
      </c>
      <c r="AD275" s="83">
        <v>623000</v>
      </c>
      <c r="AF275" s="83">
        <v>215000</v>
      </c>
      <c r="AJ275" s="83">
        <v>1</v>
      </c>
      <c r="AK275" s="83">
        <v>1</v>
      </c>
      <c r="AL275" s="83">
        <v>4148</v>
      </c>
      <c r="AM275" s="83" t="s">
        <v>2693</v>
      </c>
      <c r="BK275" s="83" t="s">
        <v>2694</v>
      </c>
      <c r="BL275" s="83" t="s">
        <v>2697</v>
      </c>
      <c r="BM275" s="83" t="s">
        <v>2699</v>
      </c>
      <c r="BN275" s="83" t="s">
        <v>2698</v>
      </c>
      <c r="BO275" s="83" t="s">
        <v>2697</v>
      </c>
      <c r="BP275" s="83" t="s">
        <v>2695</v>
      </c>
      <c r="BQ275" s="83" t="s">
        <v>2693</v>
      </c>
      <c r="BR275" s="83" t="s">
        <v>2699</v>
      </c>
      <c r="BS275" s="83" t="s">
        <v>2699</v>
      </c>
      <c r="BT275" s="83">
        <v>0</v>
      </c>
      <c r="BU275" s="83" t="s">
        <v>2699</v>
      </c>
      <c r="BV275" s="83" t="s">
        <v>2696</v>
      </c>
      <c r="BW275" s="83" t="s">
        <v>2698</v>
      </c>
      <c r="BX275" s="83" t="s">
        <v>2696</v>
      </c>
      <c r="BY275" s="83" t="s">
        <v>2699</v>
      </c>
      <c r="BZ275" s="83" t="s">
        <v>2699</v>
      </c>
      <c r="CA275" s="83" t="s">
        <v>2693</v>
      </c>
      <c r="CB275" s="83">
        <v>9</v>
      </c>
      <c r="CC275" s="83" t="s">
        <v>2699</v>
      </c>
      <c r="CD275" s="83" t="s">
        <v>2696</v>
      </c>
      <c r="CF275" s="83" t="s">
        <v>2221</v>
      </c>
      <c r="CG275" s="83" t="s">
        <v>2222</v>
      </c>
      <c r="CH275" s="83" t="s">
        <v>2695</v>
      </c>
      <c r="CI275" s="83" t="s">
        <v>648</v>
      </c>
      <c r="CJ275" s="83" t="s">
        <v>2731</v>
      </c>
      <c r="CK275" s="144">
        <v>0</v>
      </c>
      <c r="CL275" s="99">
        <v>2000</v>
      </c>
    </row>
    <row r="276" spans="1:90">
      <c r="A276" s="83" t="s">
        <v>663</v>
      </c>
      <c r="B276" s="83" t="s">
        <v>557</v>
      </c>
      <c r="D276" s="83" t="s">
        <v>688</v>
      </c>
      <c r="E276" s="83" t="s">
        <v>557</v>
      </c>
      <c r="F276" s="83" t="s">
        <v>1755</v>
      </c>
      <c r="G276" s="83" t="s">
        <v>1177</v>
      </c>
      <c r="H276" s="83" t="s">
        <v>566</v>
      </c>
      <c r="I276" s="83" t="s">
        <v>567</v>
      </c>
      <c r="J276" s="83" t="s">
        <v>564</v>
      </c>
      <c r="K276" s="83" t="s">
        <v>565</v>
      </c>
      <c r="L276" s="83" t="s">
        <v>398</v>
      </c>
      <c r="M276" s="83" t="s">
        <v>399</v>
      </c>
      <c r="N276" s="83" t="s">
        <v>2743</v>
      </c>
      <c r="O276" s="83" t="s">
        <v>106</v>
      </c>
      <c r="P276" s="83">
        <v>8</v>
      </c>
      <c r="Q276" s="83" t="s">
        <v>106</v>
      </c>
      <c r="R276" s="83" t="s">
        <v>2753</v>
      </c>
      <c r="S276" s="83" t="s">
        <v>2804</v>
      </c>
      <c r="T276" s="83" t="s">
        <v>2703</v>
      </c>
      <c r="U276" s="83" t="s">
        <v>401</v>
      </c>
      <c r="AC276" s="83" t="s">
        <v>401</v>
      </c>
      <c r="AD276" s="83">
        <v>1501000</v>
      </c>
      <c r="AF276" s="83">
        <v>269000</v>
      </c>
      <c r="AJ276" s="83">
        <v>1</v>
      </c>
      <c r="AK276" s="83">
        <v>1</v>
      </c>
      <c r="AL276" s="83">
        <v>8928</v>
      </c>
      <c r="AM276" s="83" t="s">
        <v>2693</v>
      </c>
      <c r="BK276" s="83" t="s">
        <v>2694</v>
      </c>
      <c r="BL276" s="83" t="s">
        <v>2704</v>
      </c>
      <c r="BM276" s="83" t="s">
        <v>2697</v>
      </c>
      <c r="BN276" s="83" t="s">
        <v>2698</v>
      </c>
      <c r="BO276" s="83" t="s">
        <v>2699</v>
      </c>
      <c r="BP276" s="83" t="s">
        <v>2695</v>
      </c>
      <c r="BQ276" s="83" t="s">
        <v>2699</v>
      </c>
      <c r="BR276" s="83" t="s">
        <v>2693</v>
      </c>
      <c r="BS276" s="83" t="s">
        <v>2699</v>
      </c>
      <c r="BT276" s="83" t="s">
        <v>2696</v>
      </c>
      <c r="BU276" s="83" t="s">
        <v>2699</v>
      </c>
      <c r="BV276" s="83" t="s">
        <v>2699</v>
      </c>
      <c r="BW276" s="83" t="s">
        <v>2698</v>
      </c>
      <c r="BX276" s="83" t="s">
        <v>2696</v>
      </c>
      <c r="BY276" s="83" t="s">
        <v>2699</v>
      </c>
      <c r="BZ276" s="83" t="s">
        <v>2699</v>
      </c>
      <c r="CA276" s="83" t="s">
        <v>2693</v>
      </c>
      <c r="CB276" s="83" t="s">
        <v>2694</v>
      </c>
      <c r="CC276" s="83" t="s">
        <v>2699</v>
      </c>
      <c r="CD276" s="83" t="s">
        <v>2699</v>
      </c>
      <c r="CF276" s="83" t="s">
        <v>635</v>
      </c>
      <c r="CG276" s="83" t="s">
        <v>2091</v>
      </c>
      <c r="CH276" s="83" t="s">
        <v>2695</v>
      </c>
      <c r="CI276" s="83" t="s">
        <v>648</v>
      </c>
      <c r="CJ276" s="83" t="s">
        <v>2863</v>
      </c>
      <c r="CK276" s="144">
        <v>0</v>
      </c>
      <c r="CL276" s="99">
        <v>24000</v>
      </c>
    </row>
    <row r="277" spans="1:90">
      <c r="A277" s="83" t="s">
        <v>651</v>
      </c>
      <c r="B277" s="83" t="s">
        <v>542</v>
      </c>
      <c r="D277" s="83" t="s">
        <v>688</v>
      </c>
      <c r="E277" s="83" t="s">
        <v>542</v>
      </c>
      <c r="F277" s="83" t="s">
        <v>3378</v>
      </c>
      <c r="G277" s="83" t="s">
        <v>1178</v>
      </c>
      <c r="H277" s="83" t="s">
        <v>566</v>
      </c>
      <c r="I277" s="83" t="s">
        <v>567</v>
      </c>
      <c r="J277" s="83" t="s">
        <v>564</v>
      </c>
      <c r="K277" s="83" t="s">
        <v>565</v>
      </c>
      <c r="L277" s="83" t="s">
        <v>398</v>
      </c>
      <c r="M277" s="83" t="s">
        <v>399</v>
      </c>
      <c r="N277" s="83" t="s">
        <v>2690</v>
      </c>
      <c r="O277" s="83" t="s">
        <v>106</v>
      </c>
      <c r="P277" s="83">
        <v>5</v>
      </c>
      <c r="Q277" s="83" t="s">
        <v>106</v>
      </c>
      <c r="R277" s="83" t="s">
        <v>2753</v>
      </c>
      <c r="S277" s="83" t="s">
        <v>2822</v>
      </c>
      <c r="T277" s="83" t="s">
        <v>2703</v>
      </c>
      <c r="U277" s="83" t="s">
        <v>401</v>
      </c>
      <c r="AC277" s="83" t="s">
        <v>401</v>
      </c>
      <c r="AD277" s="83">
        <v>318000</v>
      </c>
      <c r="AF277" s="83">
        <v>0</v>
      </c>
      <c r="AJ277" s="83">
        <v>1</v>
      </c>
      <c r="AK277" s="83">
        <v>1</v>
      </c>
      <c r="AL277" s="83">
        <v>2610</v>
      </c>
      <c r="AM277" s="83" t="s">
        <v>2693</v>
      </c>
      <c r="BK277" s="83" t="s">
        <v>2694</v>
      </c>
      <c r="BL277" s="83" t="s">
        <v>2695</v>
      </c>
      <c r="BM277" s="83" t="s">
        <v>2693</v>
      </c>
      <c r="BN277" s="83" t="s">
        <v>2698</v>
      </c>
      <c r="BO277" s="83" t="s">
        <v>2697</v>
      </c>
      <c r="BP277" s="83" t="s">
        <v>2699</v>
      </c>
      <c r="BQ277" s="83" t="s">
        <v>2699</v>
      </c>
      <c r="BR277" s="83" t="s">
        <v>2693</v>
      </c>
      <c r="BS277" s="83" t="s">
        <v>2699</v>
      </c>
      <c r="BT277" s="83" t="s">
        <v>2696</v>
      </c>
      <c r="BU277" s="83" t="s">
        <v>2699</v>
      </c>
      <c r="BV277" s="83" t="s">
        <v>2697</v>
      </c>
      <c r="BW277" s="83" t="s">
        <v>2698</v>
      </c>
      <c r="BX277" s="83" t="s">
        <v>2696</v>
      </c>
      <c r="BY277" s="83" t="s">
        <v>2699</v>
      </c>
      <c r="BZ277" s="83" t="s">
        <v>2699</v>
      </c>
      <c r="CA277" s="83" t="s">
        <v>2693</v>
      </c>
      <c r="CB277" s="83" t="s">
        <v>2694</v>
      </c>
      <c r="CC277" s="83" t="s">
        <v>2699</v>
      </c>
      <c r="CD277" s="83" t="s">
        <v>2696</v>
      </c>
      <c r="CF277" s="83" t="s">
        <v>584</v>
      </c>
      <c r="CG277" s="83" t="s">
        <v>585</v>
      </c>
      <c r="CH277" s="83" t="s">
        <v>2725</v>
      </c>
      <c r="CI277" s="83" t="s">
        <v>1358</v>
      </c>
      <c r="CJ277" s="83" t="s">
        <v>2726</v>
      </c>
      <c r="CK277" s="144">
        <v>0</v>
      </c>
      <c r="CL277" s="99">
        <v>2000</v>
      </c>
    </row>
    <row r="278" spans="1:90">
      <c r="A278" s="79" t="s">
        <v>3754</v>
      </c>
      <c r="B278" s="79" t="s">
        <v>3799</v>
      </c>
      <c r="C278" s="79"/>
      <c r="D278" s="79" t="s">
        <v>688</v>
      </c>
      <c r="E278" s="79" t="s">
        <v>3799</v>
      </c>
      <c r="F278" s="79">
        <v>6241</v>
      </c>
      <c r="G278" s="79" t="s">
        <v>1869</v>
      </c>
      <c r="H278" s="79" t="s">
        <v>1201</v>
      </c>
      <c r="I278" s="79" t="s">
        <v>1202</v>
      </c>
      <c r="J278" s="79" t="s">
        <v>1203</v>
      </c>
      <c r="K278" s="79" t="s">
        <v>565</v>
      </c>
      <c r="L278" s="79" t="s">
        <v>398</v>
      </c>
      <c r="M278" s="79" t="s">
        <v>399</v>
      </c>
      <c r="N278" s="79" t="s">
        <v>2719</v>
      </c>
      <c r="O278" s="79" t="s">
        <v>106</v>
      </c>
      <c r="P278" s="79"/>
      <c r="Q278" s="79" t="s">
        <v>106</v>
      </c>
      <c r="R278" s="79">
        <v>24</v>
      </c>
      <c r="S278" s="90">
        <v>29586</v>
      </c>
      <c r="T278" s="79" t="s">
        <v>2703</v>
      </c>
      <c r="U278" s="79" t="s">
        <v>401</v>
      </c>
      <c r="AC278" s="79" t="s">
        <v>401</v>
      </c>
      <c r="AD278" s="79">
        <v>0</v>
      </c>
      <c r="AE278" s="79"/>
      <c r="AF278" s="79">
        <v>20000</v>
      </c>
      <c r="AG278" s="79"/>
      <c r="AH278" s="79"/>
      <c r="AI278" s="79"/>
      <c r="AJ278" s="79">
        <v>1</v>
      </c>
      <c r="AK278" s="79">
        <v>0</v>
      </c>
      <c r="AL278" s="79">
        <v>0</v>
      </c>
      <c r="AM278" s="79">
        <v>0</v>
      </c>
      <c r="AN278" s="79">
        <v>0</v>
      </c>
      <c r="AO278" s="79">
        <v>0</v>
      </c>
      <c r="AP278" s="79">
        <v>0</v>
      </c>
      <c r="AQ278" s="79">
        <v>0</v>
      </c>
      <c r="AR278" s="79">
        <v>0</v>
      </c>
      <c r="AS278" s="79">
        <v>0</v>
      </c>
      <c r="AT278" s="79">
        <v>0</v>
      </c>
      <c r="AU278" s="79">
        <v>0</v>
      </c>
      <c r="AV278" s="79">
        <v>0</v>
      </c>
      <c r="AW278" s="79">
        <v>0</v>
      </c>
      <c r="AX278" s="79">
        <v>0</v>
      </c>
      <c r="AY278" s="79">
        <v>0</v>
      </c>
      <c r="AZ278" s="79">
        <v>0</v>
      </c>
      <c r="BA278" s="79">
        <v>0</v>
      </c>
      <c r="BB278" s="79">
        <v>0</v>
      </c>
      <c r="BC278" s="79">
        <v>0</v>
      </c>
      <c r="BD278" s="79">
        <v>0</v>
      </c>
      <c r="BE278" s="79">
        <v>0</v>
      </c>
      <c r="BF278" s="79">
        <v>0</v>
      </c>
      <c r="BG278" s="79">
        <v>0</v>
      </c>
      <c r="BH278" s="79">
        <v>0</v>
      </c>
      <c r="BI278" s="79">
        <v>0</v>
      </c>
      <c r="BJ278" s="79">
        <v>0</v>
      </c>
      <c r="BK278" s="79">
        <v>0</v>
      </c>
      <c r="BL278" s="79">
        <v>0</v>
      </c>
      <c r="BM278" s="79">
        <v>0</v>
      </c>
      <c r="BN278" s="79">
        <v>0</v>
      </c>
      <c r="BO278" s="79">
        <v>0</v>
      </c>
      <c r="BP278" s="79">
        <v>0</v>
      </c>
      <c r="BQ278" s="79">
        <v>0</v>
      </c>
      <c r="BR278" s="79">
        <v>0</v>
      </c>
      <c r="BS278" s="79">
        <v>0</v>
      </c>
      <c r="BT278" s="79">
        <v>0</v>
      </c>
      <c r="BU278" s="79">
        <v>0</v>
      </c>
      <c r="BV278" s="79">
        <v>0</v>
      </c>
      <c r="BW278" s="79">
        <v>0</v>
      </c>
      <c r="BX278" s="79">
        <v>0</v>
      </c>
      <c r="BY278" s="79">
        <v>0</v>
      </c>
      <c r="BZ278" s="79">
        <v>0</v>
      </c>
      <c r="CA278" s="79">
        <v>0</v>
      </c>
      <c r="CB278" s="79">
        <v>0</v>
      </c>
      <c r="CC278" s="79">
        <v>0</v>
      </c>
      <c r="CD278" s="79">
        <v>0</v>
      </c>
      <c r="CE278" s="79"/>
      <c r="CF278" s="79" t="s">
        <v>3904</v>
      </c>
      <c r="CG278" s="79" t="s">
        <v>3905</v>
      </c>
      <c r="CH278" s="79"/>
      <c r="CI278" s="79"/>
      <c r="CJ278" s="79"/>
      <c r="CK278" s="145"/>
      <c r="CL278"/>
    </row>
    <row r="279" spans="1:90">
      <c r="A279" s="83" t="s">
        <v>2653</v>
      </c>
      <c r="B279" s="83" t="s">
        <v>982</v>
      </c>
      <c r="D279" s="83" t="s">
        <v>688</v>
      </c>
      <c r="E279" s="83" t="s">
        <v>982</v>
      </c>
      <c r="F279" s="83" t="s">
        <v>3223</v>
      </c>
      <c r="G279" s="83" t="s">
        <v>2305</v>
      </c>
      <c r="H279" s="83" t="s">
        <v>1201</v>
      </c>
      <c r="I279" s="83" t="s">
        <v>1202</v>
      </c>
      <c r="J279" s="83" t="s">
        <v>1203</v>
      </c>
      <c r="K279" s="83" t="s">
        <v>565</v>
      </c>
      <c r="L279" s="83" t="s">
        <v>398</v>
      </c>
      <c r="M279" s="83" t="s">
        <v>399</v>
      </c>
      <c r="N279" s="83" t="s">
        <v>2833</v>
      </c>
      <c r="O279" s="83" t="s">
        <v>106</v>
      </c>
      <c r="P279" s="83">
        <v>4</v>
      </c>
      <c r="Q279" s="83" t="s">
        <v>106</v>
      </c>
      <c r="R279" s="83" t="s">
        <v>2753</v>
      </c>
      <c r="S279" s="83" t="s">
        <v>2991</v>
      </c>
      <c r="T279" s="83" t="s">
        <v>2843</v>
      </c>
      <c r="U279" s="83" t="s">
        <v>401</v>
      </c>
      <c r="AC279" s="83" t="s">
        <v>401</v>
      </c>
      <c r="AD279" s="83">
        <v>641000</v>
      </c>
      <c r="AF279" s="83">
        <v>164000</v>
      </c>
      <c r="AJ279" s="83">
        <v>1</v>
      </c>
      <c r="AK279" s="83">
        <v>1</v>
      </c>
      <c r="AL279" s="83">
        <v>5424</v>
      </c>
      <c r="AM279" s="83" t="s">
        <v>2693</v>
      </c>
      <c r="BK279" s="83" t="s">
        <v>2694</v>
      </c>
      <c r="BL279" s="83">
        <v>7</v>
      </c>
      <c r="BM279" s="83">
        <v>5</v>
      </c>
      <c r="BN279" s="83" t="s">
        <v>2698</v>
      </c>
      <c r="BO279" s="83" t="s">
        <v>2697</v>
      </c>
      <c r="BP279" s="83" t="s">
        <v>2699</v>
      </c>
      <c r="BQ279" s="83" t="s">
        <v>2699</v>
      </c>
      <c r="BR279" s="83" t="s">
        <v>2693</v>
      </c>
      <c r="BS279" s="83" t="s">
        <v>2699</v>
      </c>
      <c r="BT279" s="83" t="s">
        <v>2696</v>
      </c>
      <c r="BU279" s="83" t="s">
        <v>2699</v>
      </c>
      <c r="BV279" s="83" t="s">
        <v>2696</v>
      </c>
      <c r="BW279" s="83" t="s">
        <v>2698</v>
      </c>
      <c r="BX279" s="83" t="s">
        <v>2696</v>
      </c>
      <c r="BY279" s="83" t="s">
        <v>2699</v>
      </c>
      <c r="BZ279" s="83" t="s">
        <v>2693</v>
      </c>
      <c r="CA279" s="83" t="s">
        <v>2693</v>
      </c>
      <c r="CB279" s="83" t="s">
        <v>2694</v>
      </c>
      <c r="CC279" s="83" t="s">
        <v>2699</v>
      </c>
      <c r="CD279" s="83" t="s">
        <v>2696</v>
      </c>
      <c r="CF279" s="83" t="s">
        <v>3224</v>
      </c>
      <c r="CG279" s="83" t="s">
        <v>3225</v>
      </c>
      <c r="CH279" s="83" t="s">
        <v>2693</v>
      </c>
      <c r="CI279" s="83" t="s">
        <v>3992</v>
      </c>
      <c r="CJ279" s="83" t="s">
        <v>2701</v>
      </c>
      <c r="CL279" s="99">
        <v>28000</v>
      </c>
    </row>
    <row r="280" spans="1:90">
      <c r="A280" s="83" t="s">
        <v>2654</v>
      </c>
      <c r="B280" s="83" t="s">
        <v>981</v>
      </c>
      <c r="D280" s="83" t="s">
        <v>688</v>
      </c>
      <c r="E280" s="83" t="s">
        <v>981</v>
      </c>
      <c r="F280" s="83" t="s">
        <v>3221</v>
      </c>
      <c r="G280" s="83" t="s">
        <v>2315</v>
      </c>
      <c r="H280" s="83" t="s">
        <v>1201</v>
      </c>
      <c r="I280" s="83" t="s">
        <v>1202</v>
      </c>
      <c r="J280" s="83" t="s">
        <v>1203</v>
      </c>
      <c r="K280" s="83" t="s">
        <v>565</v>
      </c>
      <c r="L280" s="83" t="s">
        <v>398</v>
      </c>
      <c r="M280" s="83" t="s">
        <v>399</v>
      </c>
      <c r="N280" s="83" t="s">
        <v>2833</v>
      </c>
      <c r="O280" s="83" t="s">
        <v>106</v>
      </c>
      <c r="P280" s="83">
        <v>5</v>
      </c>
      <c r="Q280" s="83" t="s">
        <v>106</v>
      </c>
      <c r="R280" s="83" t="s">
        <v>2753</v>
      </c>
      <c r="S280" s="83" t="s">
        <v>2736</v>
      </c>
      <c r="T280" s="83" t="s">
        <v>2843</v>
      </c>
      <c r="U280" s="83" t="s">
        <v>401</v>
      </c>
      <c r="AC280" s="83" t="s">
        <v>401</v>
      </c>
      <c r="AD280" s="83">
        <v>995000</v>
      </c>
      <c r="AF280" s="83">
        <v>217000</v>
      </c>
      <c r="AJ280" s="83">
        <v>1</v>
      </c>
      <c r="AK280" s="83">
        <v>1</v>
      </c>
      <c r="AL280" s="83">
        <v>7200</v>
      </c>
      <c r="AM280" s="83" t="s">
        <v>2693</v>
      </c>
      <c r="BK280" s="83" t="s">
        <v>2694</v>
      </c>
      <c r="BL280" s="83" t="s">
        <v>2697</v>
      </c>
      <c r="BM280" s="83" t="s">
        <v>2699</v>
      </c>
      <c r="BN280" s="83" t="s">
        <v>2698</v>
      </c>
      <c r="BO280" s="83" t="s">
        <v>2697</v>
      </c>
      <c r="BP280" s="83" t="s">
        <v>2699</v>
      </c>
      <c r="BQ280" s="83" t="s">
        <v>2699</v>
      </c>
      <c r="BR280" s="83" t="s">
        <v>2693</v>
      </c>
      <c r="BS280" s="83" t="s">
        <v>2699</v>
      </c>
      <c r="BT280" s="83" t="s">
        <v>2696</v>
      </c>
      <c r="BU280" s="83" t="s">
        <v>2699</v>
      </c>
      <c r="BV280" s="83" t="s">
        <v>2696</v>
      </c>
      <c r="BW280" s="83" t="s">
        <v>2698</v>
      </c>
      <c r="BX280" s="83" t="s">
        <v>2696</v>
      </c>
      <c r="BY280" s="83" t="s">
        <v>2699</v>
      </c>
      <c r="BZ280" s="83" t="s">
        <v>2693</v>
      </c>
      <c r="CA280" s="83" t="s">
        <v>2693</v>
      </c>
      <c r="CB280" s="83" t="s">
        <v>2694</v>
      </c>
      <c r="CC280" s="83" t="s">
        <v>2699</v>
      </c>
      <c r="CD280" s="83" t="s">
        <v>2696</v>
      </c>
      <c r="CF280" s="83" t="s">
        <v>1925</v>
      </c>
      <c r="CG280" s="83" t="s">
        <v>3222</v>
      </c>
      <c r="CH280" s="83" t="s">
        <v>2725</v>
      </c>
      <c r="CI280" s="83" t="s">
        <v>1358</v>
      </c>
      <c r="CJ280" s="83" t="s">
        <v>2726</v>
      </c>
      <c r="CK280" s="144">
        <v>0</v>
      </c>
      <c r="CL280" s="99">
        <v>17000</v>
      </c>
    </row>
    <row r="281" spans="1:90">
      <c r="A281" s="83" t="s">
        <v>1497</v>
      </c>
      <c r="B281" s="83" t="s">
        <v>747</v>
      </c>
      <c r="D281" s="83" t="s">
        <v>688</v>
      </c>
      <c r="E281" s="83" t="s">
        <v>747</v>
      </c>
      <c r="F281" s="83" t="s">
        <v>1756</v>
      </c>
      <c r="G281" s="83" t="s">
        <v>1829</v>
      </c>
      <c r="H281" s="83" t="s">
        <v>1201</v>
      </c>
      <c r="I281" s="83" t="s">
        <v>1202</v>
      </c>
      <c r="J281" s="83" t="s">
        <v>1203</v>
      </c>
      <c r="K281" s="83" t="s">
        <v>565</v>
      </c>
      <c r="L281" s="83" t="s">
        <v>398</v>
      </c>
      <c r="M281" s="83" t="s">
        <v>399</v>
      </c>
      <c r="N281" s="83" t="s">
        <v>2735</v>
      </c>
      <c r="O281" s="83" t="s">
        <v>106</v>
      </c>
      <c r="P281" s="83">
        <v>5</v>
      </c>
      <c r="Q281" s="83" t="s">
        <v>106</v>
      </c>
      <c r="R281" s="83" t="s">
        <v>2753</v>
      </c>
      <c r="S281" s="83" t="s">
        <v>2805</v>
      </c>
      <c r="T281" s="83" t="s">
        <v>1456</v>
      </c>
      <c r="U281" s="83" t="s">
        <v>401</v>
      </c>
      <c r="AC281" s="83" t="s">
        <v>401</v>
      </c>
      <c r="AD281" s="83">
        <v>440000</v>
      </c>
      <c r="AF281" s="83">
        <v>0</v>
      </c>
      <c r="AJ281" s="83">
        <v>1</v>
      </c>
      <c r="AK281" s="83">
        <v>1</v>
      </c>
      <c r="AL281" s="83">
        <v>3816</v>
      </c>
      <c r="AM281" s="83" t="s">
        <v>2693</v>
      </c>
      <c r="BK281" s="83" t="s">
        <v>2694</v>
      </c>
      <c r="BL281" s="83" t="s">
        <v>2697</v>
      </c>
      <c r="BM281" s="83" t="s">
        <v>2699</v>
      </c>
      <c r="BN281" s="83" t="s">
        <v>2698</v>
      </c>
      <c r="BO281" s="83" t="s">
        <v>2697</v>
      </c>
      <c r="BP281" s="83" t="s">
        <v>2695</v>
      </c>
      <c r="BQ281" s="83" t="s">
        <v>2693</v>
      </c>
      <c r="BR281" s="83" t="s">
        <v>2693</v>
      </c>
      <c r="BS281" s="83" t="s">
        <v>2699</v>
      </c>
      <c r="BT281" s="83">
        <v>0</v>
      </c>
      <c r="BU281" s="83" t="s">
        <v>2699</v>
      </c>
      <c r="BV281" s="83" t="s">
        <v>2696</v>
      </c>
      <c r="BW281" s="83" t="s">
        <v>2698</v>
      </c>
      <c r="BX281" s="83" t="s">
        <v>2696</v>
      </c>
      <c r="BY281" s="83" t="s">
        <v>2699</v>
      </c>
      <c r="BZ281" s="83" t="s">
        <v>2693</v>
      </c>
      <c r="CA281" s="83" t="s">
        <v>2693</v>
      </c>
      <c r="CB281" s="83">
        <v>9</v>
      </c>
      <c r="CC281" s="83" t="s">
        <v>2699</v>
      </c>
      <c r="CD281" s="83" t="s">
        <v>2696</v>
      </c>
      <c r="CF281" s="83" t="s">
        <v>2254</v>
      </c>
      <c r="CG281" s="83" t="s">
        <v>2255</v>
      </c>
      <c r="CH281" s="83" t="s">
        <v>2725</v>
      </c>
      <c r="CI281" s="83" t="s">
        <v>1358</v>
      </c>
      <c r="CJ281" s="83" t="s">
        <v>2726</v>
      </c>
      <c r="CK281" s="144">
        <v>0</v>
      </c>
      <c r="CL281" s="99">
        <v>15000</v>
      </c>
    </row>
    <row r="282" spans="1:90">
      <c r="A282" s="83" t="s">
        <v>1562</v>
      </c>
      <c r="B282" s="83" t="s">
        <v>2806</v>
      </c>
      <c r="D282" s="83" t="s">
        <v>688</v>
      </c>
      <c r="E282" s="83" t="s">
        <v>970</v>
      </c>
      <c r="F282" s="83" t="s">
        <v>1757</v>
      </c>
      <c r="G282" s="83" t="s">
        <v>1870</v>
      </c>
      <c r="H282" s="83" t="s">
        <v>1201</v>
      </c>
      <c r="I282" s="83" t="s">
        <v>1202</v>
      </c>
      <c r="J282" s="83" t="s">
        <v>1203</v>
      </c>
      <c r="K282" s="83" t="s">
        <v>565</v>
      </c>
      <c r="L282" s="83" t="s">
        <v>398</v>
      </c>
      <c r="M282" s="83" t="s">
        <v>399</v>
      </c>
      <c r="N282" s="83" t="s">
        <v>2778</v>
      </c>
      <c r="O282" s="83" t="s">
        <v>106</v>
      </c>
      <c r="P282" s="83">
        <v>8</v>
      </c>
      <c r="Q282" s="83" t="s">
        <v>106</v>
      </c>
      <c r="R282" s="83" t="s">
        <v>2753</v>
      </c>
      <c r="S282" s="83" t="s">
        <v>2724</v>
      </c>
      <c r="T282" s="83" t="s">
        <v>2714</v>
      </c>
      <c r="U282" s="83" t="s">
        <v>401</v>
      </c>
      <c r="AC282" s="83" t="s">
        <v>401</v>
      </c>
      <c r="AD282" s="83">
        <v>396000</v>
      </c>
      <c r="AF282" s="83">
        <v>135000</v>
      </c>
      <c r="AJ282" s="83">
        <v>1</v>
      </c>
      <c r="AK282" s="83">
        <v>1</v>
      </c>
      <c r="AL282" s="83">
        <v>4464</v>
      </c>
      <c r="AM282" s="83" t="s">
        <v>2693</v>
      </c>
      <c r="BK282" s="83" t="s">
        <v>2694</v>
      </c>
      <c r="BL282" s="83" t="s">
        <v>2697</v>
      </c>
      <c r="BM282" s="83" t="s">
        <v>2699</v>
      </c>
      <c r="BN282" s="83" t="s">
        <v>2698</v>
      </c>
      <c r="BO282" s="83" t="s">
        <v>2697</v>
      </c>
      <c r="BP282" s="83" t="s">
        <v>2697</v>
      </c>
      <c r="BQ282" s="83" t="s">
        <v>2693</v>
      </c>
      <c r="BR282" s="83" t="s">
        <v>2699</v>
      </c>
      <c r="BS282" s="83" t="s">
        <v>2699</v>
      </c>
      <c r="BT282" s="83">
        <v>0</v>
      </c>
      <c r="BU282" s="83" t="s">
        <v>2699</v>
      </c>
      <c r="BV282" s="83" t="s">
        <v>2696</v>
      </c>
      <c r="BW282" s="83" t="s">
        <v>2698</v>
      </c>
      <c r="BX282" s="83" t="s">
        <v>2696</v>
      </c>
      <c r="BY282" s="83" t="s">
        <v>2699</v>
      </c>
      <c r="BZ282" s="83" t="s">
        <v>2693</v>
      </c>
      <c r="CA282" s="83" t="s">
        <v>2693</v>
      </c>
      <c r="CB282" s="83">
        <v>9</v>
      </c>
      <c r="CC282" s="83" t="s">
        <v>2699</v>
      </c>
      <c r="CD282" s="83" t="s">
        <v>2699</v>
      </c>
      <c r="CF282" s="83" t="s">
        <v>2087</v>
      </c>
      <c r="CG282" s="83" t="s">
        <v>2088</v>
      </c>
      <c r="CH282" s="83" t="s">
        <v>2695</v>
      </c>
      <c r="CI282" s="83" t="s">
        <v>648</v>
      </c>
      <c r="CJ282" s="83" t="s">
        <v>2731</v>
      </c>
      <c r="CK282" s="144">
        <v>0</v>
      </c>
      <c r="CL282"/>
    </row>
    <row r="283" spans="1:90">
      <c r="A283" s="83" t="s">
        <v>1563</v>
      </c>
      <c r="B283" s="83" t="s">
        <v>963</v>
      </c>
      <c r="D283" s="83" t="s">
        <v>688</v>
      </c>
      <c r="E283" s="83" t="s">
        <v>963</v>
      </c>
      <c r="F283" s="83" t="s">
        <v>1758</v>
      </c>
      <c r="G283" s="83" t="s">
        <v>1812</v>
      </c>
      <c r="H283" s="83" t="s">
        <v>1201</v>
      </c>
      <c r="I283" s="83" t="s">
        <v>1202</v>
      </c>
      <c r="J283" s="83" t="s">
        <v>1203</v>
      </c>
      <c r="K283" s="83" t="s">
        <v>565</v>
      </c>
      <c r="L283" s="83" t="s">
        <v>398</v>
      </c>
      <c r="M283" s="83" t="s">
        <v>399</v>
      </c>
      <c r="N283" s="83" t="s">
        <v>2744</v>
      </c>
      <c r="O283" s="83" t="s">
        <v>106</v>
      </c>
      <c r="P283" s="83">
        <v>9</v>
      </c>
      <c r="Q283" s="83" t="s">
        <v>106</v>
      </c>
      <c r="R283" s="83" t="s">
        <v>2753</v>
      </c>
      <c r="S283" s="83" t="s">
        <v>1449</v>
      </c>
      <c r="T283" s="83" t="s">
        <v>2703</v>
      </c>
      <c r="U283" s="83" t="s">
        <v>401</v>
      </c>
      <c r="AC283" s="83" t="s">
        <v>401</v>
      </c>
      <c r="AD283" s="83">
        <v>1419000</v>
      </c>
      <c r="AF283" s="83">
        <v>363000</v>
      </c>
      <c r="AJ283" s="83">
        <v>1</v>
      </c>
      <c r="AK283" s="83">
        <v>2</v>
      </c>
      <c r="AL283" s="83">
        <v>12032</v>
      </c>
      <c r="AM283" s="83" t="s">
        <v>2693</v>
      </c>
      <c r="BK283" s="83" t="s">
        <v>2694</v>
      </c>
      <c r="BL283" s="83" t="s">
        <v>2699</v>
      </c>
      <c r="BM283" s="83" t="s">
        <v>2698</v>
      </c>
      <c r="BN283" s="83" t="s">
        <v>2699</v>
      </c>
      <c r="BO283" s="83" t="s">
        <v>2697</v>
      </c>
      <c r="BP283" s="83" t="s">
        <v>2695</v>
      </c>
      <c r="BQ283" s="83" t="s">
        <v>2699</v>
      </c>
      <c r="BR283" s="83" t="s">
        <v>2693</v>
      </c>
      <c r="BS283" s="83" t="s">
        <v>2699</v>
      </c>
      <c r="BT283" s="83">
        <v>0</v>
      </c>
      <c r="BU283" s="83" t="s">
        <v>2699</v>
      </c>
      <c r="BV283" s="83" t="s">
        <v>2696</v>
      </c>
      <c r="BW283" s="83" t="s">
        <v>2698</v>
      </c>
      <c r="BX283" s="83" t="s">
        <v>2696</v>
      </c>
      <c r="BY283" s="83" t="s">
        <v>2699</v>
      </c>
      <c r="BZ283" s="83" t="s">
        <v>2699</v>
      </c>
      <c r="CA283" s="83" t="s">
        <v>2693</v>
      </c>
      <c r="CB283" s="83">
        <v>9</v>
      </c>
      <c r="CC283" s="83" t="s">
        <v>2699</v>
      </c>
      <c r="CD283" s="83" t="s">
        <v>2696</v>
      </c>
      <c r="CF283" s="83" t="s">
        <v>2123</v>
      </c>
      <c r="CG283" s="83" t="s">
        <v>2124</v>
      </c>
      <c r="CH283" s="83" t="s">
        <v>2697</v>
      </c>
      <c r="CI283" s="83" t="s">
        <v>2695</v>
      </c>
      <c r="CJ283" s="83" t="s">
        <v>2757</v>
      </c>
      <c r="CK283" s="144">
        <v>0</v>
      </c>
      <c r="CL283" s="99">
        <v>31000</v>
      </c>
    </row>
    <row r="284" spans="1:90">
      <c r="A284" s="83" t="s">
        <v>1122</v>
      </c>
      <c r="B284" s="83" t="s">
        <v>934</v>
      </c>
      <c r="D284" s="83" t="s">
        <v>688</v>
      </c>
      <c r="E284" s="83" t="s">
        <v>934</v>
      </c>
      <c r="F284" s="83" t="s">
        <v>3456</v>
      </c>
      <c r="G284" s="83" t="s">
        <v>1179</v>
      </c>
      <c r="H284" s="83" t="s">
        <v>1201</v>
      </c>
      <c r="I284" s="83" t="s">
        <v>1202</v>
      </c>
      <c r="J284" s="83" t="s">
        <v>1203</v>
      </c>
      <c r="K284" s="83" t="s">
        <v>565</v>
      </c>
      <c r="L284" s="83" t="s">
        <v>398</v>
      </c>
      <c r="M284" s="83" t="s">
        <v>399</v>
      </c>
      <c r="N284" s="83" t="s">
        <v>3057</v>
      </c>
      <c r="O284" s="83" t="s">
        <v>106</v>
      </c>
      <c r="P284" s="83">
        <v>4</v>
      </c>
      <c r="Q284" s="83" t="s">
        <v>106</v>
      </c>
      <c r="R284" s="83" t="s">
        <v>2753</v>
      </c>
      <c r="S284" s="83" t="s">
        <v>1463</v>
      </c>
      <c r="T284" s="83" t="s">
        <v>2703</v>
      </c>
      <c r="U284" s="83" t="s">
        <v>401</v>
      </c>
      <c r="AC284" s="83" t="s">
        <v>401</v>
      </c>
      <c r="AD284" s="83">
        <v>977000</v>
      </c>
      <c r="AF284" s="83">
        <v>70000</v>
      </c>
      <c r="AJ284" s="83">
        <v>1</v>
      </c>
      <c r="AK284" s="83">
        <v>1</v>
      </c>
      <c r="AL284" s="83">
        <v>8352</v>
      </c>
      <c r="AM284" s="83" t="s">
        <v>2693</v>
      </c>
      <c r="BK284" s="83" t="s">
        <v>2694</v>
      </c>
      <c r="BL284" s="83" t="s">
        <v>2704</v>
      </c>
      <c r="BM284" s="83" t="s">
        <v>2697</v>
      </c>
      <c r="BN284" s="83" t="s">
        <v>2698</v>
      </c>
      <c r="BO284" s="83" t="s">
        <v>2697</v>
      </c>
      <c r="BP284" s="83" t="s">
        <v>2695</v>
      </c>
      <c r="BQ284" s="83" t="s">
        <v>2699</v>
      </c>
      <c r="BR284" s="83" t="s">
        <v>2693</v>
      </c>
      <c r="BS284" s="83" t="s">
        <v>2699</v>
      </c>
      <c r="BT284" s="83" t="s">
        <v>2696</v>
      </c>
      <c r="BU284" s="83" t="s">
        <v>2699</v>
      </c>
      <c r="BV284" s="83" t="s">
        <v>2697</v>
      </c>
      <c r="BW284" s="83" t="s">
        <v>2698</v>
      </c>
      <c r="BX284" s="83" t="s">
        <v>2696</v>
      </c>
      <c r="BY284" s="83" t="s">
        <v>2699</v>
      </c>
      <c r="BZ284" s="83" t="s">
        <v>2699</v>
      </c>
      <c r="CA284" s="83" t="s">
        <v>2693</v>
      </c>
      <c r="CB284" s="83" t="s">
        <v>2694</v>
      </c>
      <c r="CC284" s="83" t="s">
        <v>2696</v>
      </c>
      <c r="CD284" s="83" t="s">
        <v>2696</v>
      </c>
      <c r="CF284" s="83" t="s">
        <v>935</v>
      </c>
      <c r="CG284" s="83" t="s">
        <v>936</v>
      </c>
      <c r="CH284" s="83" t="s">
        <v>2693</v>
      </c>
      <c r="CI284" s="83" t="s">
        <v>3992</v>
      </c>
      <c r="CJ284" s="83" t="s">
        <v>2701</v>
      </c>
      <c r="CK284" s="144">
        <v>0</v>
      </c>
      <c r="CL284" s="99">
        <v>25000</v>
      </c>
    </row>
    <row r="285" spans="1:90">
      <c r="A285" s="83" t="s">
        <v>1122</v>
      </c>
      <c r="B285" s="83" t="s">
        <v>934</v>
      </c>
      <c r="D285" s="83" t="s">
        <v>673</v>
      </c>
      <c r="E285" s="83" t="s">
        <v>937</v>
      </c>
      <c r="F285" s="83" t="s">
        <v>3456</v>
      </c>
      <c r="G285" s="83" t="s">
        <v>1179</v>
      </c>
      <c r="H285" s="83" t="s">
        <v>1201</v>
      </c>
      <c r="I285" s="83" t="s">
        <v>1202</v>
      </c>
      <c r="J285" s="83" t="s">
        <v>1203</v>
      </c>
      <c r="K285" s="83" t="s">
        <v>565</v>
      </c>
      <c r="L285" s="83" t="s">
        <v>398</v>
      </c>
      <c r="M285" s="83" t="s">
        <v>399</v>
      </c>
      <c r="N285" s="83" t="s">
        <v>3057</v>
      </c>
      <c r="O285" s="83" t="s">
        <v>106</v>
      </c>
      <c r="P285" s="83">
        <v>4</v>
      </c>
      <c r="Q285" s="83" t="s">
        <v>106</v>
      </c>
      <c r="R285" s="83" t="s">
        <v>2753</v>
      </c>
      <c r="S285" s="83" t="s">
        <v>2720</v>
      </c>
      <c r="T285" s="83" t="s">
        <v>2703</v>
      </c>
      <c r="U285" s="83" t="s">
        <v>401</v>
      </c>
      <c r="AC285" s="83" t="s">
        <v>401</v>
      </c>
      <c r="AD285" s="83">
        <v>75000</v>
      </c>
      <c r="AF285" s="83">
        <v>24000</v>
      </c>
      <c r="AJ285" s="83">
        <v>1</v>
      </c>
      <c r="AK285" s="83">
        <v>1</v>
      </c>
      <c r="AL285" s="83">
        <v>1850</v>
      </c>
      <c r="AM285" s="83" t="s">
        <v>2693</v>
      </c>
      <c r="BK285" s="83" t="s">
        <v>2694</v>
      </c>
      <c r="BL285" s="83" t="s">
        <v>2693</v>
      </c>
      <c r="BM285" s="83" t="s">
        <v>2698</v>
      </c>
      <c r="BN285" s="83" t="s">
        <v>2698</v>
      </c>
      <c r="BO285" s="83" t="s">
        <v>2697</v>
      </c>
      <c r="BP285" s="83" t="s">
        <v>2695</v>
      </c>
      <c r="BQ285" s="83" t="s">
        <v>2699</v>
      </c>
      <c r="BR285" s="83" t="s">
        <v>2693</v>
      </c>
      <c r="BS285" s="83" t="s">
        <v>2699</v>
      </c>
      <c r="BT285" s="83" t="s">
        <v>2696</v>
      </c>
      <c r="BU285" s="83" t="s">
        <v>2699</v>
      </c>
      <c r="BV285" s="83" t="s">
        <v>2697</v>
      </c>
      <c r="BW285" s="83" t="s">
        <v>2698</v>
      </c>
      <c r="BX285" s="83" t="s">
        <v>2696</v>
      </c>
      <c r="BY285" s="83" t="s">
        <v>2699</v>
      </c>
      <c r="BZ285" s="83" t="s">
        <v>2699</v>
      </c>
      <c r="CA285" s="83" t="s">
        <v>2693</v>
      </c>
      <c r="CB285" s="83" t="s">
        <v>2694</v>
      </c>
      <c r="CC285" s="83" t="s">
        <v>2696</v>
      </c>
      <c r="CD285" s="83" t="s">
        <v>2696</v>
      </c>
      <c r="CF285" s="83" t="s">
        <v>938</v>
      </c>
      <c r="CG285" s="83" t="s">
        <v>939</v>
      </c>
      <c r="CH285" s="83" t="s">
        <v>2693</v>
      </c>
      <c r="CI285" s="83" t="s">
        <v>3992</v>
      </c>
      <c r="CJ285" s="83" t="s">
        <v>2701</v>
      </c>
      <c r="CK285" s="144">
        <v>0</v>
      </c>
      <c r="CL285"/>
    </row>
    <row r="286" spans="1:90">
      <c r="A286" s="83" t="s">
        <v>1121</v>
      </c>
      <c r="B286" s="83" t="s">
        <v>931</v>
      </c>
      <c r="D286" s="83" t="s">
        <v>688</v>
      </c>
      <c r="E286" s="83" t="s">
        <v>931</v>
      </c>
      <c r="F286" s="83" t="s">
        <v>3457</v>
      </c>
      <c r="G286" s="83" t="s">
        <v>1180</v>
      </c>
      <c r="H286" s="83" t="s">
        <v>1201</v>
      </c>
      <c r="I286" s="83" t="s">
        <v>1202</v>
      </c>
      <c r="J286" s="83" t="s">
        <v>1203</v>
      </c>
      <c r="K286" s="83" t="s">
        <v>565</v>
      </c>
      <c r="L286" s="83" t="s">
        <v>398</v>
      </c>
      <c r="M286" s="83" t="s">
        <v>399</v>
      </c>
      <c r="N286" s="83" t="s">
        <v>3057</v>
      </c>
      <c r="O286" s="83" t="s">
        <v>106</v>
      </c>
      <c r="P286" s="83">
        <v>4</v>
      </c>
      <c r="Q286" s="83" t="s">
        <v>106</v>
      </c>
      <c r="R286" s="83" t="s">
        <v>2753</v>
      </c>
      <c r="S286" s="83" t="s">
        <v>2804</v>
      </c>
      <c r="T286" s="83" t="s">
        <v>2703</v>
      </c>
      <c r="U286" s="83" t="s">
        <v>401</v>
      </c>
      <c r="AC286" s="83" t="s">
        <v>401</v>
      </c>
      <c r="AD286" s="83">
        <v>1041000</v>
      </c>
      <c r="AF286" s="83">
        <v>75000</v>
      </c>
      <c r="AJ286" s="83">
        <v>1</v>
      </c>
      <c r="AK286" s="83">
        <v>1</v>
      </c>
      <c r="AL286" s="83">
        <v>8980</v>
      </c>
      <c r="AM286" s="83" t="s">
        <v>2693</v>
      </c>
      <c r="BK286" s="83" t="s">
        <v>2694</v>
      </c>
      <c r="BL286" s="83" t="s">
        <v>2704</v>
      </c>
      <c r="BM286" s="83" t="s">
        <v>2697</v>
      </c>
      <c r="BN286" s="83" t="s">
        <v>2698</v>
      </c>
      <c r="BO286" s="83" t="s">
        <v>2699</v>
      </c>
      <c r="BP286" s="83" t="s">
        <v>2695</v>
      </c>
      <c r="BQ286" s="83" t="s">
        <v>2699</v>
      </c>
      <c r="BR286" s="83" t="s">
        <v>2693</v>
      </c>
      <c r="BS286" s="83" t="s">
        <v>2699</v>
      </c>
      <c r="BT286" s="83" t="s">
        <v>2696</v>
      </c>
      <c r="BU286" s="83" t="s">
        <v>2699</v>
      </c>
      <c r="BV286" s="83" t="s">
        <v>2699</v>
      </c>
      <c r="BW286" s="83" t="s">
        <v>2698</v>
      </c>
      <c r="BX286" s="83" t="s">
        <v>2696</v>
      </c>
      <c r="BY286" s="83" t="s">
        <v>2699</v>
      </c>
      <c r="BZ286" s="83" t="s">
        <v>2699</v>
      </c>
      <c r="CA286" s="83" t="s">
        <v>2693</v>
      </c>
      <c r="CB286" s="83" t="s">
        <v>2694</v>
      </c>
      <c r="CC286" s="83" t="s">
        <v>2699</v>
      </c>
      <c r="CD286" s="83" t="s">
        <v>2699</v>
      </c>
      <c r="CF286" s="83" t="s">
        <v>932</v>
      </c>
      <c r="CG286" s="83" t="s">
        <v>933</v>
      </c>
      <c r="CH286" s="83" t="s">
        <v>2693</v>
      </c>
      <c r="CI286" s="83" t="s">
        <v>3992</v>
      </c>
      <c r="CJ286" s="83" t="s">
        <v>2701</v>
      </c>
      <c r="CK286" s="144">
        <v>1</v>
      </c>
      <c r="CL286" s="99">
        <v>36000</v>
      </c>
    </row>
    <row r="287" spans="1:90">
      <c r="A287" s="83" t="s">
        <v>665</v>
      </c>
      <c r="B287" s="83" t="s">
        <v>559</v>
      </c>
      <c r="D287" s="83" t="s">
        <v>688</v>
      </c>
      <c r="E287" s="83" t="s">
        <v>559</v>
      </c>
      <c r="F287" s="83" t="s">
        <v>1759</v>
      </c>
      <c r="G287" s="83" t="s">
        <v>672</v>
      </c>
      <c r="H287" s="83" t="s">
        <v>566</v>
      </c>
      <c r="I287" s="83" t="s">
        <v>567</v>
      </c>
      <c r="J287" s="83" t="s">
        <v>564</v>
      </c>
      <c r="K287" s="83" t="s">
        <v>565</v>
      </c>
      <c r="L287" s="83" t="s">
        <v>398</v>
      </c>
      <c r="M287" s="83" t="s">
        <v>399</v>
      </c>
      <c r="N287" s="83" t="s">
        <v>2709</v>
      </c>
      <c r="O287" s="83" t="s">
        <v>106</v>
      </c>
      <c r="P287" s="83">
        <v>5</v>
      </c>
      <c r="Q287" s="83" t="s">
        <v>106</v>
      </c>
      <c r="R287" s="83" t="s">
        <v>2753</v>
      </c>
      <c r="S287" s="83" t="s">
        <v>2720</v>
      </c>
      <c r="T287" s="83" t="s">
        <v>2703</v>
      </c>
      <c r="U287" s="83" t="s">
        <v>401</v>
      </c>
      <c r="AC287" s="83" t="s">
        <v>401</v>
      </c>
      <c r="AD287" s="83">
        <v>456000</v>
      </c>
      <c r="AF287" s="83">
        <v>33000</v>
      </c>
      <c r="AJ287" s="83">
        <v>1</v>
      </c>
      <c r="AK287" s="83">
        <v>1</v>
      </c>
      <c r="AL287" s="83">
        <v>3971</v>
      </c>
      <c r="AM287" s="83" t="s">
        <v>2693</v>
      </c>
      <c r="BK287" s="83" t="s">
        <v>2694</v>
      </c>
      <c r="BL287" s="83" t="s">
        <v>2695</v>
      </c>
      <c r="BM287" s="83" t="s">
        <v>2693</v>
      </c>
      <c r="BN287" s="83" t="s">
        <v>2698</v>
      </c>
      <c r="BO287" s="83" t="s">
        <v>2697</v>
      </c>
      <c r="BP287" s="83" t="s">
        <v>2699</v>
      </c>
      <c r="BQ287" s="83" t="s">
        <v>2699</v>
      </c>
      <c r="BR287" s="83" t="s">
        <v>2693</v>
      </c>
      <c r="BS287" s="83" t="s">
        <v>2699</v>
      </c>
      <c r="BT287" s="83" t="s">
        <v>2696</v>
      </c>
      <c r="BU287" s="83" t="s">
        <v>2699</v>
      </c>
      <c r="BV287" s="83" t="s">
        <v>2697</v>
      </c>
      <c r="BW287" s="83" t="s">
        <v>2698</v>
      </c>
      <c r="BX287" s="83" t="s">
        <v>2696</v>
      </c>
      <c r="BY287" s="83" t="s">
        <v>2699</v>
      </c>
      <c r="BZ287" s="83" t="s">
        <v>2699</v>
      </c>
      <c r="CA287" s="83" t="s">
        <v>2693</v>
      </c>
      <c r="CB287" s="83" t="s">
        <v>2694</v>
      </c>
      <c r="CC287" s="83" t="s">
        <v>2699</v>
      </c>
      <c r="CD287" s="83" t="s">
        <v>2696</v>
      </c>
      <c r="CF287" s="83" t="s">
        <v>2042</v>
      </c>
      <c r="CG287" s="83" t="s">
        <v>596</v>
      </c>
      <c r="CH287" s="83" t="s">
        <v>2725</v>
      </c>
      <c r="CI287" s="83" t="s">
        <v>1358</v>
      </c>
      <c r="CJ287" s="83" t="s">
        <v>2726</v>
      </c>
      <c r="CK287" s="144">
        <v>0</v>
      </c>
      <c r="CL287" s="99">
        <v>23000</v>
      </c>
    </row>
    <row r="288" spans="1:90">
      <c r="A288" s="83" t="s">
        <v>664</v>
      </c>
      <c r="B288" s="83" t="s">
        <v>2363</v>
      </c>
      <c r="D288" s="83" t="s">
        <v>688</v>
      </c>
      <c r="E288" s="83" t="s">
        <v>2363</v>
      </c>
      <c r="F288" s="83" t="s">
        <v>3406</v>
      </c>
      <c r="G288" s="83" t="s">
        <v>1181</v>
      </c>
      <c r="H288" s="83" t="s">
        <v>566</v>
      </c>
      <c r="I288" s="83" t="s">
        <v>567</v>
      </c>
      <c r="J288" s="83" t="s">
        <v>564</v>
      </c>
      <c r="K288" s="83" t="s">
        <v>565</v>
      </c>
      <c r="L288" s="83" t="s">
        <v>398</v>
      </c>
      <c r="M288" s="83" t="s">
        <v>399</v>
      </c>
      <c r="N288" s="83" t="s">
        <v>2743</v>
      </c>
      <c r="O288" s="83" t="s">
        <v>106</v>
      </c>
      <c r="P288" s="83">
        <v>4</v>
      </c>
      <c r="Q288" s="83" t="s">
        <v>106</v>
      </c>
      <c r="R288" s="83" t="s">
        <v>2753</v>
      </c>
      <c r="S288" s="83" t="s">
        <v>1449</v>
      </c>
      <c r="T288" s="83" t="s">
        <v>2703</v>
      </c>
      <c r="U288" s="83" t="s">
        <v>401</v>
      </c>
      <c r="AC288" s="83" t="s">
        <v>401</v>
      </c>
      <c r="AD288" s="83">
        <v>297000</v>
      </c>
      <c r="AF288" s="83">
        <v>19000</v>
      </c>
      <c r="AJ288" s="83">
        <v>1</v>
      </c>
      <c r="AK288" s="83">
        <v>1</v>
      </c>
      <c r="AL288" s="83">
        <v>2304</v>
      </c>
      <c r="AM288" s="83" t="s">
        <v>2693</v>
      </c>
      <c r="BK288" s="83" t="s">
        <v>2694</v>
      </c>
      <c r="BL288" s="83" t="s">
        <v>2704</v>
      </c>
      <c r="BM288" s="83" t="s">
        <v>2697</v>
      </c>
      <c r="BN288" s="83" t="s">
        <v>2698</v>
      </c>
      <c r="BO288" s="83" t="s">
        <v>2693</v>
      </c>
      <c r="BP288" s="83" t="s">
        <v>2695</v>
      </c>
      <c r="BQ288" s="83" t="s">
        <v>2699</v>
      </c>
      <c r="BR288" s="83" t="s">
        <v>2693</v>
      </c>
      <c r="BS288" s="83" t="s">
        <v>2699</v>
      </c>
      <c r="BT288" s="83" t="s">
        <v>2696</v>
      </c>
      <c r="BU288" s="83" t="s">
        <v>2699</v>
      </c>
      <c r="BV288" s="83" t="s">
        <v>2699</v>
      </c>
      <c r="BW288" s="83" t="s">
        <v>2698</v>
      </c>
      <c r="BX288" s="83" t="s">
        <v>2696</v>
      </c>
      <c r="BY288" s="83" t="s">
        <v>2699</v>
      </c>
      <c r="BZ288" s="83" t="s">
        <v>2699</v>
      </c>
      <c r="CA288" s="83" t="s">
        <v>2693</v>
      </c>
      <c r="CB288" s="83">
        <v>9</v>
      </c>
      <c r="CC288" s="83" t="s">
        <v>2699</v>
      </c>
      <c r="CD288" s="83" t="s">
        <v>2696</v>
      </c>
      <c r="CF288" s="83" t="s">
        <v>636</v>
      </c>
      <c r="CG288" s="83" t="s">
        <v>637</v>
      </c>
      <c r="CH288" s="83" t="s">
        <v>2693</v>
      </c>
      <c r="CI288" s="83" t="s">
        <v>3992</v>
      </c>
      <c r="CJ288" s="83" t="s">
        <v>2701</v>
      </c>
      <c r="CK288" s="144">
        <v>0</v>
      </c>
      <c r="CL288" s="99">
        <v>52000</v>
      </c>
    </row>
    <row r="289" spans="1:90">
      <c r="A289" s="83" t="s">
        <v>664</v>
      </c>
      <c r="B289" s="83" t="s">
        <v>2363</v>
      </c>
      <c r="D289" s="83" t="s">
        <v>673</v>
      </c>
      <c r="E289" s="83" t="s">
        <v>558</v>
      </c>
      <c r="F289" s="83" t="s">
        <v>3406</v>
      </c>
      <c r="G289" s="83" t="s">
        <v>1181</v>
      </c>
      <c r="H289" s="83" t="s">
        <v>566</v>
      </c>
      <c r="I289" s="83" t="s">
        <v>567</v>
      </c>
      <c r="J289" s="83" t="s">
        <v>564</v>
      </c>
      <c r="K289" s="83" t="s">
        <v>565</v>
      </c>
      <c r="L289" s="83" t="s">
        <v>398</v>
      </c>
      <c r="M289" s="83" t="s">
        <v>399</v>
      </c>
      <c r="N289" s="83" t="s">
        <v>2743</v>
      </c>
      <c r="O289" s="83" t="s">
        <v>106</v>
      </c>
      <c r="P289" s="83">
        <v>9</v>
      </c>
      <c r="Q289" s="83" t="s">
        <v>106</v>
      </c>
      <c r="R289" s="83" t="s">
        <v>2753</v>
      </c>
      <c r="S289" s="83" t="s">
        <v>1456</v>
      </c>
      <c r="T289" s="83" t="s">
        <v>2703</v>
      </c>
      <c r="U289" s="83" t="s">
        <v>401</v>
      </c>
      <c r="AC289" s="83" t="s">
        <v>401</v>
      </c>
      <c r="AD289" s="83">
        <v>632000</v>
      </c>
      <c r="AF289" s="83">
        <v>0</v>
      </c>
      <c r="AJ289" s="83">
        <v>1</v>
      </c>
      <c r="AK289" s="83">
        <v>1</v>
      </c>
      <c r="AL289" s="83">
        <v>2340</v>
      </c>
      <c r="AM289" s="83" t="s">
        <v>2693</v>
      </c>
      <c r="BK289" s="83" t="s">
        <v>2694</v>
      </c>
      <c r="BL289" s="83" t="s">
        <v>2693</v>
      </c>
      <c r="BM289" s="83" t="s">
        <v>2693</v>
      </c>
      <c r="BN289" s="83" t="s">
        <v>2698</v>
      </c>
      <c r="BO289" s="83" t="s">
        <v>2697</v>
      </c>
      <c r="BP289" s="83" t="s">
        <v>2697</v>
      </c>
      <c r="BQ289" s="83" t="s">
        <v>2699</v>
      </c>
      <c r="BR289" s="83" t="s">
        <v>2693</v>
      </c>
      <c r="BS289" s="83" t="s">
        <v>2699</v>
      </c>
      <c r="BT289" s="83" t="s">
        <v>2696</v>
      </c>
      <c r="BU289" s="83" t="s">
        <v>2699</v>
      </c>
      <c r="BV289" s="83" t="s">
        <v>2697</v>
      </c>
      <c r="BW289" s="83" t="s">
        <v>2698</v>
      </c>
      <c r="BX289" s="83" t="s">
        <v>2696</v>
      </c>
      <c r="BY289" s="83" t="s">
        <v>2699</v>
      </c>
      <c r="BZ289" s="83" t="s">
        <v>2699</v>
      </c>
      <c r="CA289" s="83" t="s">
        <v>2693</v>
      </c>
      <c r="CB289" s="83" t="s">
        <v>2694</v>
      </c>
      <c r="CC289" s="83" t="s">
        <v>2696</v>
      </c>
      <c r="CD289" s="83" t="s">
        <v>2696</v>
      </c>
      <c r="CF289" s="83" t="s">
        <v>638</v>
      </c>
      <c r="CG289" s="83" t="s">
        <v>639</v>
      </c>
      <c r="CH289" s="83" t="s">
        <v>2697</v>
      </c>
      <c r="CI289" s="83" t="s">
        <v>648</v>
      </c>
      <c r="CJ289" s="83" t="s">
        <v>2757</v>
      </c>
      <c r="CK289" s="144">
        <v>0</v>
      </c>
      <c r="CL289"/>
    </row>
    <row r="290" spans="1:90">
      <c r="A290" s="83" t="s">
        <v>2864</v>
      </c>
      <c r="B290" s="83" t="s">
        <v>2479</v>
      </c>
      <c r="D290" s="83" t="s">
        <v>688</v>
      </c>
      <c r="E290" s="83" t="s">
        <v>2479</v>
      </c>
      <c r="F290" s="83" t="s">
        <v>2865</v>
      </c>
      <c r="G290" s="83" t="s">
        <v>2265</v>
      </c>
      <c r="H290" s="83" t="s">
        <v>1201</v>
      </c>
      <c r="I290" s="83" t="s">
        <v>1202</v>
      </c>
      <c r="J290" s="83" t="s">
        <v>1203</v>
      </c>
      <c r="K290" s="83" t="s">
        <v>565</v>
      </c>
      <c r="L290" s="83" t="s">
        <v>398</v>
      </c>
      <c r="M290" s="83" t="s">
        <v>399</v>
      </c>
      <c r="N290" s="83" t="s">
        <v>2752</v>
      </c>
      <c r="O290" s="83" t="s">
        <v>106</v>
      </c>
      <c r="P290" s="83">
        <v>4</v>
      </c>
      <c r="Q290" s="83" t="s">
        <v>106</v>
      </c>
      <c r="R290" s="83" t="s">
        <v>2753</v>
      </c>
      <c r="S290" s="83" t="s">
        <v>2775</v>
      </c>
      <c r="T290" s="83" t="s">
        <v>2843</v>
      </c>
      <c r="U290" s="83" t="s">
        <v>401</v>
      </c>
      <c r="AC290" s="83" t="s">
        <v>401</v>
      </c>
      <c r="AJ290" s="83">
        <v>1</v>
      </c>
      <c r="AK290" s="83">
        <v>1</v>
      </c>
      <c r="AM290" s="83" t="s">
        <v>2693</v>
      </c>
      <c r="BK290" s="83" t="s">
        <v>2696</v>
      </c>
      <c r="BL290" s="83" t="s">
        <v>2704</v>
      </c>
      <c r="BM290" s="83" t="s">
        <v>2697</v>
      </c>
      <c r="BN290" s="83" t="s">
        <v>2698</v>
      </c>
      <c r="BO290" s="83" t="s">
        <v>2697</v>
      </c>
      <c r="BP290" s="83" t="s">
        <v>2698</v>
      </c>
      <c r="BQ290" s="83" t="s">
        <v>2699</v>
      </c>
      <c r="BR290" s="83" t="s">
        <v>2693</v>
      </c>
      <c r="BS290" s="83" t="s">
        <v>2699</v>
      </c>
      <c r="BT290" s="83" t="s">
        <v>2696</v>
      </c>
      <c r="BU290" s="83" t="s">
        <v>2699</v>
      </c>
      <c r="BV290" s="83" t="s">
        <v>2696</v>
      </c>
      <c r="BW290" s="83" t="s">
        <v>2698</v>
      </c>
      <c r="BX290" s="83" t="s">
        <v>2693</v>
      </c>
      <c r="BY290" s="83" t="s">
        <v>2699</v>
      </c>
      <c r="BZ290" s="83" t="s">
        <v>2693</v>
      </c>
      <c r="CA290" s="83" t="s">
        <v>2693</v>
      </c>
      <c r="CB290" s="83" t="s">
        <v>2694</v>
      </c>
      <c r="CC290" s="83" t="s">
        <v>2699</v>
      </c>
      <c r="CD290" s="83" t="s">
        <v>2696</v>
      </c>
      <c r="CF290" s="83" t="s">
        <v>3906</v>
      </c>
      <c r="CG290" s="83" t="s">
        <v>3907</v>
      </c>
      <c r="CH290" s="83" t="s">
        <v>2693</v>
      </c>
      <c r="CI290" s="83" t="s">
        <v>649</v>
      </c>
      <c r="CJ290" s="83" t="s">
        <v>2701</v>
      </c>
      <c r="CK290" s="144">
        <v>1</v>
      </c>
      <c r="CL290"/>
    </row>
    <row r="291" spans="1:90">
      <c r="A291" s="83" t="s">
        <v>2864</v>
      </c>
      <c r="B291" s="83" t="s">
        <v>2479</v>
      </c>
      <c r="D291" s="83" t="s">
        <v>673</v>
      </c>
      <c r="E291" s="83" t="s">
        <v>2480</v>
      </c>
      <c r="F291" s="83" t="s">
        <v>2865</v>
      </c>
      <c r="G291" s="83" t="s">
        <v>2265</v>
      </c>
      <c r="H291" s="83" t="s">
        <v>1201</v>
      </c>
      <c r="I291" s="83" t="s">
        <v>1202</v>
      </c>
      <c r="J291" s="83" t="s">
        <v>1203</v>
      </c>
      <c r="K291" s="83" t="s">
        <v>565</v>
      </c>
      <c r="L291" s="83" t="s">
        <v>398</v>
      </c>
      <c r="M291" s="83" t="s">
        <v>399</v>
      </c>
      <c r="N291" s="83" t="s">
        <v>2752</v>
      </c>
      <c r="O291" s="83" t="s">
        <v>106</v>
      </c>
      <c r="P291" s="83">
        <v>5</v>
      </c>
      <c r="Q291" s="83" t="s">
        <v>106</v>
      </c>
      <c r="R291" s="83" t="s">
        <v>2753</v>
      </c>
      <c r="S291" s="83" t="s">
        <v>2775</v>
      </c>
      <c r="T291" s="83" t="s">
        <v>2843</v>
      </c>
      <c r="U291" s="83" t="s">
        <v>401</v>
      </c>
      <c r="AC291" s="83" t="s">
        <v>401</v>
      </c>
      <c r="AJ291" s="83">
        <v>1</v>
      </c>
      <c r="AK291" s="83">
        <v>1</v>
      </c>
      <c r="AM291" s="83" t="s">
        <v>2693</v>
      </c>
      <c r="BK291" s="83" t="s">
        <v>2696</v>
      </c>
      <c r="BL291" s="83" t="s">
        <v>2698</v>
      </c>
      <c r="BM291" s="83" t="s">
        <v>2693</v>
      </c>
      <c r="BN291" s="83" t="s">
        <v>2698</v>
      </c>
      <c r="BO291" s="83" t="s">
        <v>2697</v>
      </c>
      <c r="BP291" s="83" t="s">
        <v>2699</v>
      </c>
      <c r="BQ291" s="83" t="s">
        <v>2699</v>
      </c>
      <c r="BR291" s="83" t="s">
        <v>2693</v>
      </c>
      <c r="BS291" s="83" t="s">
        <v>2699</v>
      </c>
      <c r="BT291" s="83" t="s">
        <v>2696</v>
      </c>
      <c r="BU291" s="83" t="s">
        <v>2699</v>
      </c>
      <c r="BV291" s="83" t="s">
        <v>2696</v>
      </c>
      <c r="BW291" s="83" t="s">
        <v>2698</v>
      </c>
      <c r="BX291" s="83" t="s">
        <v>2696</v>
      </c>
      <c r="BY291" s="83" t="s">
        <v>2699</v>
      </c>
      <c r="BZ291" s="83" t="s">
        <v>2693</v>
      </c>
      <c r="CA291" s="83" t="s">
        <v>2693</v>
      </c>
      <c r="CB291" s="83" t="s">
        <v>2694</v>
      </c>
      <c r="CC291" s="83" t="s">
        <v>2696</v>
      </c>
      <c r="CD291" s="83" t="s">
        <v>2696</v>
      </c>
      <c r="CF291" s="83" t="s">
        <v>3908</v>
      </c>
      <c r="CG291" s="83" t="s">
        <v>3907</v>
      </c>
      <c r="CH291" s="83" t="s">
        <v>2725</v>
      </c>
      <c r="CI291" s="83" t="s">
        <v>1358</v>
      </c>
      <c r="CJ291" s="83" t="s">
        <v>2780</v>
      </c>
      <c r="CK291" s="144">
        <v>0</v>
      </c>
      <c r="CL291"/>
    </row>
    <row r="292" spans="1:90">
      <c r="A292" s="79" t="s">
        <v>3755</v>
      </c>
      <c r="B292" s="79" t="s">
        <v>2479</v>
      </c>
      <c r="C292" s="79"/>
      <c r="D292" s="79" t="s">
        <v>688</v>
      </c>
      <c r="E292" s="79" t="s">
        <v>2479</v>
      </c>
      <c r="F292" s="79">
        <v>1408</v>
      </c>
      <c r="G292" s="79" t="s">
        <v>2265</v>
      </c>
      <c r="H292" s="79" t="s">
        <v>1201</v>
      </c>
      <c r="I292" s="79" t="s">
        <v>1202</v>
      </c>
      <c r="J292" s="79" t="s">
        <v>1203</v>
      </c>
      <c r="K292" s="79" t="s">
        <v>565</v>
      </c>
      <c r="L292" s="79" t="s">
        <v>398</v>
      </c>
      <c r="M292" s="79" t="s">
        <v>399</v>
      </c>
      <c r="N292" s="79" t="s">
        <v>2752</v>
      </c>
      <c r="O292" s="79" t="s">
        <v>106</v>
      </c>
      <c r="P292" s="79">
        <v>4</v>
      </c>
      <c r="Q292" s="79" t="s">
        <v>106</v>
      </c>
      <c r="R292" s="79">
        <v>24</v>
      </c>
      <c r="S292" s="90">
        <v>35064</v>
      </c>
      <c r="T292" s="79" t="s">
        <v>2703</v>
      </c>
      <c r="U292" s="79" t="s">
        <v>401</v>
      </c>
      <c r="AC292" s="79" t="s">
        <v>401</v>
      </c>
      <c r="AD292" s="79">
        <v>267000</v>
      </c>
      <c r="AE292" s="79"/>
      <c r="AF292" s="79">
        <v>67000</v>
      </c>
      <c r="AG292" s="79"/>
      <c r="AH292" s="79"/>
      <c r="AI292" s="79"/>
      <c r="AJ292" s="79">
        <v>1</v>
      </c>
      <c r="AK292" s="79">
        <v>1</v>
      </c>
      <c r="AL292" s="79">
        <v>2209</v>
      </c>
      <c r="AM292" s="79" t="s">
        <v>2693</v>
      </c>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v>9</v>
      </c>
      <c r="BL292" s="79">
        <v>7</v>
      </c>
      <c r="BM292" s="79">
        <v>5</v>
      </c>
      <c r="BN292" s="79">
        <v>5</v>
      </c>
      <c r="BO292" s="79">
        <v>2</v>
      </c>
      <c r="BP292" s="79">
        <v>5</v>
      </c>
      <c r="BQ292" s="79">
        <v>1</v>
      </c>
      <c r="BR292" s="79">
        <v>2</v>
      </c>
      <c r="BS292" s="79">
        <v>1</v>
      </c>
      <c r="BT292" s="79">
        <v>0</v>
      </c>
      <c r="BU292" s="79">
        <v>1</v>
      </c>
      <c r="BV292" s="79">
        <v>0</v>
      </c>
      <c r="BW292" s="79">
        <v>5</v>
      </c>
      <c r="BX292" s="79">
        <v>0</v>
      </c>
      <c r="BY292" s="79">
        <v>1</v>
      </c>
      <c r="BZ292" s="79">
        <v>0</v>
      </c>
      <c r="CA292" s="79">
        <v>1</v>
      </c>
      <c r="CB292" s="79">
        <v>9</v>
      </c>
      <c r="CC292" s="79">
        <v>1</v>
      </c>
      <c r="CD292" s="79">
        <v>0</v>
      </c>
      <c r="CE292" s="79"/>
      <c r="CF292" s="79" t="s">
        <v>3906</v>
      </c>
      <c r="CG292" s="79" t="s">
        <v>3907</v>
      </c>
      <c r="CH292" s="79" t="s">
        <v>2693</v>
      </c>
      <c r="CI292" s="79" t="s">
        <v>3992</v>
      </c>
      <c r="CJ292" s="79" t="s">
        <v>2701</v>
      </c>
      <c r="CK292" s="145"/>
      <c r="CL292" s="99">
        <v>20000</v>
      </c>
    </row>
    <row r="293" spans="1:90">
      <c r="A293" s="79" t="s">
        <v>3755</v>
      </c>
      <c r="B293" s="79" t="s">
        <v>2479</v>
      </c>
      <c r="C293" s="79"/>
      <c r="D293" s="79" t="s">
        <v>673</v>
      </c>
      <c r="E293" s="79" t="s">
        <v>2480</v>
      </c>
      <c r="F293" s="79">
        <v>1408</v>
      </c>
      <c r="G293" s="79" t="s">
        <v>2265</v>
      </c>
      <c r="H293" s="79" t="s">
        <v>1201</v>
      </c>
      <c r="I293" s="79" t="s">
        <v>1202</v>
      </c>
      <c r="J293" s="79" t="s">
        <v>1203</v>
      </c>
      <c r="K293" s="79" t="s">
        <v>565</v>
      </c>
      <c r="L293" s="79" t="s">
        <v>398</v>
      </c>
      <c r="M293" s="79" t="s">
        <v>399</v>
      </c>
      <c r="N293" s="79" t="s">
        <v>2752</v>
      </c>
      <c r="O293" s="79" t="s">
        <v>106</v>
      </c>
      <c r="P293" s="79">
        <v>9</v>
      </c>
      <c r="Q293" s="79" t="s">
        <v>106</v>
      </c>
      <c r="R293" s="79">
        <v>24</v>
      </c>
      <c r="S293" s="90">
        <v>35064</v>
      </c>
      <c r="T293" s="79" t="s">
        <v>2703</v>
      </c>
      <c r="U293" s="79" t="s">
        <v>401</v>
      </c>
      <c r="AC293" s="79" t="s">
        <v>401</v>
      </c>
      <c r="AD293" s="79">
        <v>710000</v>
      </c>
      <c r="AE293" s="79"/>
      <c r="AF293" s="79">
        <v>0</v>
      </c>
      <c r="AG293" s="79"/>
      <c r="AH293" s="79"/>
      <c r="AI293" s="79"/>
      <c r="AJ293" s="79">
        <v>1</v>
      </c>
      <c r="AK293" s="79">
        <v>1</v>
      </c>
      <c r="AL293" s="79">
        <v>2960</v>
      </c>
      <c r="AM293" s="79" t="s">
        <v>2693</v>
      </c>
      <c r="AN293" s="79"/>
      <c r="AO293" s="79"/>
      <c r="AP293" s="79"/>
      <c r="AQ293" s="79"/>
      <c r="AR293" s="79"/>
      <c r="AS293" s="79"/>
      <c r="AT293" s="79"/>
      <c r="AU293" s="79"/>
      <c r="AV293" s="79"/>
      <c r="AW293" s="79"/>
      <c r="AX293" s="79"/>
      <c r="AY293" s="79"/>
      <c r="AZ293" s="79"/>
      <c r="BA293" s="79"/>
      <c r="BB293" s="79"/>
      <c r="BC293" s="79"/>
      <c r="BD293" s="79"/>
      <c r="BE293" s="79"/>
      <c r="BF293" s="79"/>
      <c r="BG293" s="79"/>
      <c r="BH293" s="79"/>
      <c r="BI293" s="79"/>
      <c r="BJ293" s="79"/>
      <c r="BK293" s="79">
        <v>9</v>
      </c>
      <c r="BL293" s="79">
        <v>2</v>
      </c>
      <c r="BM293" s="79">
        <v>5</v>
      </c>
      <c r="BN293" s="79">
        <v>5</v>
      </c>
      <c r="BO293" s="79">
        <v>2</v>
      </c>
      <c r="BP293" s="79">
        <v>3</v>
      </c>
      <c r="BQ293" s="79">
        <v>1</v>
      </c>
      <c r="BR293" s="79">
        <v>2</v>
      </c>
      <c r="BS293" s="79">
        <v>1</v>
      </c>
      <c r="BT293" s="79">
        <v>0</v>
      </c>
      <c r="BU293" s="79">
        <v>1</v>
      </c>
      <c r="BV293" s="79">
        <v>0</v>
      </c>
      <c r="BW293" s="79">
        <v>2</v>
      </c>
      <c r="BX293" s="79">
        <v>0</v>
      </c>
      <c r="BY293" s="79">
        <v>1</v>
      </c>
      <c r="BZ293" s="79">
        <v>0</v>
      </c>
      <c r="CA293" s="79">
        <v>1</v>
      </c>
      <c r="CB293" s="79">
        <v>9</v>
      </c>
      <c r="CC293" s="79">
        <v>1</v>
      </c>
      <c r="CD293" s="79">
        <v>0</v>
      </c>
      <c r="CE293" s="79"/>
      <c r="CF293" s="79" t="s">
        <v>3908</v>
      </c>
      <c r="CG293" s="79" t="s">
        <v>3907</v>
      </c>
      <c r="CH293" s="79" t="s">
        <v>2697</v>
      </c>
      <c r="CI293" s="79">
        <v>4</v>
      </c>
      <c r="CJ293" s="79" t="s">
        <v>2757</v>
      </c>
      <c r="CK293" s="145">
        <v>0</v>
      </c>
      <c r="CL293"/>
    </row>
    <row r="294" spans="1:90">
      <c r="A294" s="83" t="s">
        <v>2650</v>
      </c>
      <c r="B294" s="83" t="s">
        <v>2481</v>
      </c>
      <c r="D294" s="83" t="s">
        <v>688</v>
      </c>
      <c r="E294" s="83" t="s">
        <v>2481</v>
      </c>
      <c r="F294" s="83" t="s">
        <v>3238</v>
      </c>
      <c r="G294" s="83" t="s">
        <v>2298</v>
      </c>
      <c r="H294" s="83" t="s">
        <v>1201</v>
      </c>
      <c r="I294" s="83" t="s">
        <v>1202</v>
      </c>
      <c r="J294" s="83" t="s">
        <v>1203</v>
      </c>
      <c r="K294" s="83" t="s">
        <v>565</v>
      </c>
      <c r="L294" s="83" t="s">
        <v>398</v>
      </c>
      <c r="M294" s="83" t="s">
        <v>399</v>
      </c>
      <c r="N294" s="83" t="s">
        <v>3228</v>
      </c>
      <c r="O294" s="83" t="s">
        <v>106</v>
      </c>
      <c r="P294" s="83">
        <v>4</v>
      </c>
      <c r="Q294" s="83" t="s">
        <v>106</v>
      </c>
      <c r="R294" s="83" t="s">
        <v>2753</v>
      </c>
      <c r="S294" s="83" t="s">
        <v>1451</v>
      </c>
      <c r="T294" s="83" t="s">
        <v>2843</v>
      </c>
      <c r="U294" s="83" t="s">
        <v>401</v>
      </c>
      <c r="AC294" s="83" t="s">
        <v>401</v>
      </c>
      <c r="AD294" s="83">
        <v>234000</v>
      </c>
      <c r="AF294" s="83">
        <v>51000</v>
      </c>
      <c r="AJ294" s="83">
        <v>1</v>
      </c>
      <c r="AK294" s="83">
        <v>1</v>
      </c>
      <c r="AL294" s="83">
        <v>2480</v>
      </c>
      <c r="AM294" s="83" t="s">
        <v>2693</v>
      </c>
      <c r="BK294" s="83" t="s">
        <v>2694</v>
      </c>
      <c r="BL294" s="83" t="s">
        <v>2704</v>
      </c>
      <c r="BM294" s="83" t="s">
        <v>2698</v>
      </c>
      <c r="BN294" s="83" t="s">
        <v>2698</v>
      </c>
      <c r="BO294" s="83" t="s">
        <v>2697</v>
      </c>
      <c r="BP294" s="83" t="s">
        <v>2698</v>
      </c>
      <c r="BQ294" s="83" t="s">
        <v>2699</v>
      </c>
      <c r="BR294" s="83" t="s">
        <v>2693</v>
      </c>
      <c r="BS294" s="83" t="s">
        <v>2699</v>
      </c>
      <c r="BT294" s="83" t="s">
        <v>2696</v>
      </c>
      <c r="BU294" s="83" t="s">
        <v>2699</v>
      </c>
      <c r="BV294" s="83" t="s">
        <v>2696</v>
      </c>
      <c r="BW294" s="83" t="s">
        <v>2698</v>
      </c>
      <c r="BX294" s="83" t="s">
        <v>2696</v>
      </c>
      <c r="BY294" s="83" t="s">
        <v>2699</v>
      </c>
      <c r="BZ294" s="83" t="s">
        <v>2693</v>
      </c>
      <c r="CA294" s="83" t="s">
        <v>2693</v>
      </c>
      <c r="CB294" s="83" t="s">
        <v>2694</v>
      </c>
      <c r="CC294" s="83" t="s">
        <v>2699</v>
      </c>
      <c r="CD294" s="83" t="s">
        <v>2696</v>
      </c>
      <c r="CF294" s="83" t="s">
        <v>3239</v>
      </c>
      <c r="CG294" s="83" t="s">
        <v>3240</v>
      </c>
      <c r="CH294" s="83" t="s">
        <v>2693</v>
      </c>
      <c r="CI294" s="83" t="s">
        <v>3992</v>
      </c>
      <c r="CJ294" s="83" t="s">
        <v>2701</v>
      </c>
      <c r="CK294" s="144">
        <v>1</v>
      </c>
      <c r="CL294" s="99">
        <v>32000</v>
      </c>
    </row>
    <row r="295" spans="1:90">
      <c r="A295" s="79" t="s">
        <v>2677</v>
      </c>
      <c r="B295" s="79" t="s">
        <v>4128</v>
      </c>
      <c r="C295" s="79"/>
      <c r="D295" s="79" t="s">
        <v>688</v>
      </c>
      <c r="E295" s="79" t="s">
        <v>4129</v>
      </c>
      <c r="F295" s="79" t="s">
        <v>3708</v>
      </c>
      <c r="G295" s="79" t="s">
        <v>2461</v>
      </c>
      <c r="H295" s="79" t="s">
        <v>1201</v>
      </c>
      <c r="I295" s="79" t="s">
        <v>1202</v>
      </c>
      <c r="J295" s="79" t="s">
        <v>1203</v>
      </c>
      <c r="K295" s="79" t="s">
        <v>565</v>
      </c>
      <c r="L295" s="79" t="s">
        <v>398</v>
      </c>
      <c r="M295" s="79" t="s">
        <v>399</v>
      </c>
      <c r="N295" s="79" t="s">
        <v>3699</v>
      </c>
      <c r="O295" s="79" t="s">
        <v>106</v>
      </c>
      <c r="P295" s="79">
        <v>8</v>
      </c>
      <c r="Q295" s="79" t="s">
        <v>106</v>
      </c>
      <c r="R295" s="79" t="s">
        <v>2799</v>
      </c>
      <c r="S295" s="79" t="s">
        <v>3218</v>
      </c>
      <c r="T295" s="79" t="s">
        <v>2703</v>
      </c>
      <c r="U295" s="79" t="s">
        <v>401</v>
      </c>
      <c r="AC295" s="79" t="s">
        <v>401</v>
      </c>
      <c r="AD295" s="79">
        <v>517000</v>
      </c>
      <c r="AE295" s="79"/>
      <c r="AF295" s="79">
        <v>121000</v>
      </c>
      <c r="AG295" s="79"/>
      <c r="AH295" s="79"/>
      <c r="AI295" s="79"/>
      <c r="AJ295" s="79">
        <v>1</v>
      </c>
      <c r="AK295" s="79">
        <v>1</v>
      </c>
      <c r="AL295" s="79">
        <v>4016</v>
      </c>
      <c r="AM295" s="79" t="s">
        <v>2693</v>
      </c>
      <c r="AN295" s="79"/>
      <c r="AO295" s="79"/>
      <c r="AP295" s="79"/>
      <c r="AQ295" s="79"/>
      <c r="AR295" s="79"/>
      <c r="AS295" s="79"/>
      <c r="AT295" s="79"/>
      <c r="AU295" s="79"/>
      <c r="AV295" s="79"/>
      <c r="AW295" s="79"/>
      <c r="AX295" s="79"/>
      <c r="AY295" s="79"/>
      <c r="AZ295" s="79"/>
      <c r="BA295" s="79"/>
      <c r="BB295" s="79"/>
      <c r="BC295" s="79"/>
      <c r="BD295" s="79"/>
      <c r="BE295" s="79"/>
      <c r="BF295" s="79"/>
      <c r="BG295" s="79"/>
      <c r="BH295" s="79"/>
      <c r="BI295" s="79"/>
      <c r="BJ295" s="79"/>
      <c r="BK295" s="79" t="s">
        <v>2694</v>
      </c>
      <c r="BL295" s="79" t="s">
        <v>2695</v>
      </c>
      <c r="BM295" s="79" t="s">
        <v>2693</v>
      </c>
      <c r="BN295" s="79" t="s">
        <v>2698</v>
      </c>
      <c r="BO295" s="79" t="s">
        <v>2697</v>
      </c>
      <c r="BP295" s="79" t="s">
        <v>2697</v>
      </c>
      <c r="BQ295" s="79" t="s">
        <v>2699</v>
      </c>
      <c r="BR295" s="79" t="s">
        <v>2693</v>
      </c>
      <c r="BS295" s="79" t="s">
        <v>2699</v>
      </c>
      <c r="BT295" s="79" t="s">
        <v>2696</v>
      </c>
      <c r="BU295" s="79">
        <v>1</v>
      </c>
      <c r="BV295" s="79" t="s">
        <v>2696</v>
      </c>
      <c r="BW295" s="79" t="s">
        <v>2695</v>
      </c>
      <c r="BX295" s="79" t="s">
        <v>2696</v>
      </c>
      <c r="BY295" s="79" t="s">
        <v>2699</v>
      </c>
      <c r="BZ295" s="79" t="s">
        <v>2693</v>
      </c>
      <c r="CA295" s="79" t="s">
        <v>2697</v>
      </c>
      <c r="CB295" s="79">
        <v>9</v>
      </c>
      <c r="CC295" s="79" t="s">
        <v>2699</v>
      </c>
      <c r="CD295" s="79" t="s">
        <v>2696</v>
      </c>
      <c r="CE295" s="79"/>
      <c r="CF295" s="81" t="s">
        <v>4126</v>
      </c>
      <c r="CG295" s="81" t="s">
        <v>4127</v>
      </c>
      <c r="CH295" s="79" t="s">
        <v>2695</v>
      </c>
      <c r="CI295" s="79" t="s">
        <v>648</v>
      </c>
      <c r="CJ295" s="79" t="s">
        <v>2757</v>
      </c>
      <c r="CK295" s="145">
        <v>0</v>
      </c>
      <c r="CL295" s="99">
        <v>24000</v>
      </c>
    </row>
    <row r="296" spans="1:90">
      <c r="A296" s="83" t="s">
        <v>2640</v>
      </c>
      <c r="B296" s="83" t="s">
        <v>991</v>
      </c>
      <c r="D296" s="83" t="s">
        <v>688</v>
      </c>
      <c r="E296" s="83" t="s">
        <v>991</v>
      </c>
      <c r="F296" s="83" t="s">
        <v>3266</v>
      </c>
      <c r="G296" s="83" t="s">
        <v>2322</v>
      </c>
      <c r="H296" s="83" t="s">
        <v>1201</v>
      </c>
      <c r="I296" s="83" t="s">
        <v>1202</v>
      </c>
      <c r="J296" s="83" t="s">
        <v>1203</v>
      </c>
      <c r="K296" s="83" t="s">
        <v>565</v>
      </c>
      <c r="L296" s="83" t="s">
        <v>398</v>
      </c>
      <c r="M296" s="83" t="s">
        <v>399</v>
      </c>
      <c r="N296" s="83" t="s">
        <v>3248</v>
      </c>
      <c r="O296" s="83" t="s">
        <v>106</v>
      </c>
      <c r="P296" s="83">
        <v>1</v>
      </c>
      <c r="Q296" s="83" t="s">
        <v>106</v>
      </c>
      <c r="R296" s="83" t="s">
        <v>2753</v>
      </c>
      <c r="S296" s="83" t="s">
        <v>2797</v>
      </c>
      <c r="T296" s="83" t="s">
        <v>2843</v>
      </c>
      <c r="U296" s="83" t="s">
        <v>401</v>
      </c>
      <c r="AC296" s="83" t="s">
        <v>401</v>
      </c>
      <c r="AD296" s="83">
        <v>92000</v>
      </c>
      <c r="AF296" s="83">
        <v>13000</v>
      </c>
      <c r="AJ296" s="83">
        <v>1</v>
      </c>
      <c r="AK296" s="83">
        <v>1</v>
      </c>
      <c r="AL296" s="83">
        <v>1008</v>
      </c>
      <c r="AM296" s="83" t="s">
        <v>2693</v>
      </c>
      <c r="BK296" s="83" t="s">
        <v>2694</v>
      </c>
      <c r="BL296" s="83" t="s">
        <v>2704</v>
      </c>
      <c r="BM296" s="83" t="s">
        <v>2698</v>
      </c>
      <c r="BN296" s="83" t="s">
        <v>2696</v>
      </c>
      <c r="BO296" s="83" t="s">
        <v>2697</v>
      </c>
      <c r="BP296" s="83" t="s">
        <v>2698</v>
      </c>
      <c r="BQ296" s="83" t="s">
        <v>2699</v>
      </c>
      <c r="BR296" s="83" t="s">
        <v>2693</v>
      </c>
      <c r="BS296" s="83" t="s">
        <v>2699</v>
      </c>
      <c r="BT296" s="83" t="s">
        <v>2696</v>
      </c>
      <c r="BU296" s="83" t="s">
        <v>2699</v>
      </c>
      <c r="BV296" s="83" t="s">
        <v>2696</v>
      </c>
      <c r="BW296" s="83" t="s">
        <v>2697</v>
      </c>
      <c r="BX296" s="83" t="s">
        <v>2696</v>
      </c>
      <c r="BY296" s="83" t="s">
        <v>2699</v>
      </c>
      <c r="BZ296" s="83" t="s">
        <v>2693</v>
      </c>
      <c r="CA296" s="83" t="s">
        <v>2693</v>
      </c>
      <c r="CB296" s="83" t="s">
        <v>2694</v>
      </c>
      <c r="CC296" s="83" t="s">
        <v>2699</v>
      </c>
      <c r="CD296" s="83" t="s">
        <v>2696</v>
      </c>
      <c r="CF296" s="83" t="s">
        <v>3269</v>
      </c>
      <c r="CG296" s="83" t="s">
        <v>3270</v>
      </c>
      <c r="CH296" s="83" t="s">
        <v>2699</v>
      </c>
      <c r="CI296" s="83" t="s">
        <v>2699</v>
      </c>
      <c r="CJ296" s="83" t="s">
        <v>2734</v>
      </c>
      <c r="CK296" s="144">
        <v>2</v>
      </c>
      <c r="CL296"/>
    </row>
    <row r="297" spans="1:90">
      <c r="A297" s="83" t="s">
        <v>2615</v>
      </c>
      <c r="B297" s="83" t="s">
        <v>1070</v>
      </c>
      <c r="D297" s="83" t="s">
        <v>688</v>
      </c>
      <c r="E297" s="83" t="s">
        <v>1070</v>
      </c>
      <c r="F297" s="83" t="s">
        <v>3364</v>
      </c>
      <c r="G297" s="83" t="s">
        <v>2341</v>
      </c>
      <c r="H297" s="83" t="s">
        <v>1201</v>
      </c>
      <c r="I297" s="83" t="s">
        <v>1202</v>
      </c>
      <c r="J297" s="83" t="s">
        <v>1203</v>
      </c>
      <c r="K297" s="83" t="s">
        <v>565</v>
      </c>
      <c r="L297" s="83" t="s">
        <v>398</v>
      </c>
      <c r="M297" s="83" t="s">
        <v>399</v>
      </c>
      <c r="N297" s="83" t="s">
        <v>3357</v>
      </c>
      <c r="O297" s="83" t="s">
        <v>106</v>
      </c>
      <c r="P297" s="83">
        <v>5</v>
      </c>
      <c r="Q297" s="83" t="s">
        <v>106</v>
      </c>
      <c r="R297" s="83" t="s">
        <v>2753</v>
      </c>
      <c r="S297" s="83" t="s">
        <v>2712</v>
      </c>
      <c r="T297" s="83" t="s">
        <v>2843</v>
      </c>
      <c r="U297" s="83" t="s">
        <v>401</v>
      </c>
      <c r="AC297" s="83" t="s">
        <v>401</v>
      </c>
      <c r="AD297" s="83">
        <v>1076000</v>
      </c>
      <c r="AF297" s="83">
        <v>217000</v>
      </c>
      <c r="AJ297" s="83">
        <v>1</v>
      </c>
      <c r="AK297" s="83">
        <v>1</v>
      </c>
      <c r="AL297" s="83">
        <v>7200</v>
      </c>
      <c r="AM297" s="83" t="s">
        <v>2693</v>
      </c>
      <c r="BK297" s="83" t="s">
        <v>2694</v>
      </c>
      <c r="BL297" s="83" t="s">
        <v>2704</v>
      </c>
      <c r="BM297" s="83" t="s">
        <v>2698</v>
      </c>
      <c r="BN297" s="83" t="s">
        <v>2698</v>
      </c>
      <c r="BO297" s="83" t="s">
        <v>2697</v>
      </c>
      <c r="BP297" s="83" t="s">
        <v>2698</v>
      </c>
      <c r="BQ297" s="83" t="s">
        <v>2699</v>
      </c>
      <c r="BR297" s="83" t="s">
        <v>2693</v>
      </c>
      <c r="BS297" s="83" t="s">
        <v>2699</v>
      </c>
      <c r="BT297" s="83" t="s">
        <v>2696</v>
      </c>
      <c r="BU297" s="83" t="s">
        <v>2699</v>
      </c>
      <c r="BV297" s="83" t="s">
        <v>2696</v>
      </c>
      <c r="BW297" s="83" t="s">
        <v>2698</v>
      </c>
      <c r="BX297" s="83" t="s">
        <v>2696</v>
      </c>
      <c r="BY297" s="83" t="s">
        <v>2699</v>
      </c>
      <c r="BZ297" s="83" t="s">
        <v>2693</v>
      </c>
      <c r="CA297" s="83" t="s">
        <v>2693</v>
      </c>
      <c r="CB297" s="83" t="s">
        <v>2694</v>
      </c>
      <c r="CC297" s="83" t="s">
        <v>2699</v>
      </c>
      <c r="CD297" s="83" t="s">
        <v>2696</v>
      </c>
      <c r="CF297" s="83" t="s">
        <v>3365</v>
      </c>
      <c r="CG297" s="83" t="s">
        <v>3366</v>
      </c>
      <c r="CH297" s="83" t="s">
        <v>2725</v>
      </c>
      <c r="CI297" s="83" t="s">
        <v>1358</v>
      </c>
      <c r="CJ297" s="83" t="s">
        <v>2726</v>
      </c>
      <c r="CK297" s="144">
        <v>0</v>
      </c>
      <c r="CL297" s="99">
        <v>12000</v>
      </c>
    </row>
    <row r="298" spans="1:90">
      <c r="A298" s="83" t="s">
        <v>2674</v>
      </c>
      <c r="B298" s="83" t="s">
        <v>3686</v>
      </c>
      <c r="D298" s="83" t="s">
        <v>688</v>
      </c>
      <c r="E298" s="83" t="s">
        <v>3686</v>
      </c>
      <c r="F298" s="83" t="s">
        <v>3687</v>
      </c>
      <c r="G298" s="83" t="s">
        <v>2455</v>
      </c>
      <c r="H298" s="83" t="s">
        <v>1201</v>
      </c>
      <c r="I298" s="83" t="s">
        <v>1202</v>
      </c>
      <c r="J298" s="83" t="s">
        <v>1203</v>
      </c>
      <c r="K298" s="83" t="s">
        <v>565</v>
      </c>
      <c r="L298" s="83" t="s">
        <v>398</v>
      </c>
      <c r="M298" s="83" t="s">
        <v>399</v>
      </c>
      <c r="N298" s="83" t="s">
        <v>3228</v>
      </c>
      <c r="O298" s="83" t="s">
        <v>106</v>
      </c>
      <c r="P298" s="83">
        <v>4</v>
      </c>
      <c r="Q298" s="83" t="s">
        <v>106</v>
      </c>
      <c r="R298" s="83" t="s">
        <v>2799</v>
      </c>
      <c r="S298" s="83" t="s">
        <v>2720</v>
      </c>
      <c r="T298" s="83" t="s">
        <v>2703</v>
      </c>
      <c r="U298" s="83" t="s">
        <v>401</v>
      </c>
      <c r="AC298" s="83" t="s">
        <v>401</v>
      </c>
      <c r="AD298" s="83">
        <v>291000</v>
      </c>
      <c r="AF298" s="83">
        <v>72000</v>
      </c>
      <c r="AJ298" s="83">
        <v>1</v>
      </c>
      <c r="AK298" s="83">
        <v>1</v>
      </c>
      <c r="AL298" s="83">
        <v>2400</v>
      </c>
      <c r="AM298" s="83" t="s">
        <v>2693</v>
      </c>
      <c r="BK298" s="83" t="s">
        <v>2694</v>
      </c>
      <c r="BL298" s="83" t="s">
        <v>2704</v>
      </c>
      <c r="BM298" s="83" t="s">
        <v>2698</v>
      </c>
      <c r="BN298" s="83" t="s">
        <v>2696</v>
      </c>
      <c r="BO298" s="83" t="s">
        <v>2697</v>
      </c>
      <c r="BP298" s="83" t="s">
        <v>2698</v>
      </c>
      <c r="BQ298" s="83" t="s">
        <v>2699</v>
      </c>
      <c r="BR298" s="83" t="s">
        <v>2693</v>
      </c>
      <c r="BS298" s="83" t="s">
        <v>2699</v>
      </c>
      <c r="BT298" s="83" t="s">
        <v>2696</v>
      </c>
      <c r="BU298" s="83">
        <v>1</v>
      </c>
      <c r="BV298" s="83" t="s">
        <v>2696</v>
      </c>
      <c r="BW298" s="83" t="s">
        <v>2698</v>
      </c>
      <c r="BX298" s="83" t="s">
        <v>2693</v>
      </c>
      <c r="BY298" s="83" t="s">
        <v>2699</v>
      </c>
      <c r="BZ298" s="83" t="s">
        <v>2693</v>
      </c>
      <c r="CA298" s="83" t="s">
        <v>2699</v>
      </c>
      <c r="CB298" s="83">
        <v>9</v>
      </c>
      <c r="CC298" s="83" t="s">
        <v>2699</v>
      </c>
      <c r="CD298" s="83" t="s">
        <v>2696</v>
      </c>
      <c r="CF298" s="83" t="s">
        <v>3688</v>
      </c>
      <c r="CG298" s="83" t="s">
        <v>3689</v>
      </c>
      <c r="CH298" s="83" t="s">
        <v>2693</v>
      </c>
      <c r="CI298" s="83" t="s">
        <v>2076</v>
      </c>
      <c r="CJ298" s="83" t="s">
        <v>2701</v>
      </c>
      <c r="CK298" s="144">
        <v>2</v>
      </c>
      <c r="CL298" s="99">
        <v>35000</v>
      </c>
    </row>
    <row r="299" spans="1:90">
      <c r="A299" s="83" t="s">
        <v>2639</v>
      </c>
      <c r="B299" s="83" t="s">
        <v>992</v>
      </c>
      <c r="D299" s="83" t="s">
        <v>688</v>
      </c>
      <c r="E299" s="83" t="s">
        <v>992</v>
      </c>
      <c r="F299" s="83" t="s">
        <v>1307</v>
      </c>
      <c r="G299" s="83" t="s">
        <v>2323</v>
      </c>
      <c r="H299" s="83" t="s">
        <v>1201</v>
      </c>
      <c r="I299" s="83" t="s">
        <v>1202</v>
      </c>
      <c r="J299" s="83" t="s">
        <v>1203</v>
      </c>
      <c r="K299" s="83" t="s">
        <v>565</v>
      </c>
      <c r="L299" s="83" t="s">
        <v>398</v>
      </c>
      <c r="M299" s="83" t="s">
        <v>399</v>
      </c>
      <c r="N299" s="83" t="s">
        <v>3248</v>
      </c>
      <c r="O299" s="83" t="s">
        <v>106</v>
      </c>
      <c r="P299" s="83">
        <v>4</v>
      </c>
      <c r="Q299" s="83" t="s">
        <v>106</v>
      </c>
      <c r="R299" s="83" t="s">
        <v>2753</v>
      </c>
      <c r="S299" s="83" t="s">
        <v>2712</v>
      </c>
      <c r="T299" s="83" t="s">
        <v>2843</v>
      </c>
      <c r="U299" s="83" t="s">
        <v>401</v>
      </c>
      <c r="AC299" s="83" t="s">
        <v>401</v>
      </c>
      <c r="AD299" s="83">
        <v>239000</v>
      </c>
      <c r="AF299" s="83">
        <v>72000</v>
      </c>
      <c r="AJ299" s="83">
        <v>1</v>
      </c>
      <c r="AK299" s="83">
        <v>1</v>
      </c>
      <c r="AL299" s="83">
        <v>2398</v>
      </c>
      <c r="AM299" s="83" t="s">
        <v>2693</v>
      </c>
      <c r="BK299" s="83" t="s">
        <v>2694</v>
      </c>
      <c r="BL299" s="83" t="s">
        <v>2704</v>
      </c>
      <c r="BM299" s="83" t="s">
        <v>2698</v>
      </c>
      <c r="BN299" s="83" t="s">
        <v>2698</v>
      </c>
      <c r="BO299" s="83" t="s">
        <v>2697</v>
      </c>
      <c r="BP299" s="83" t="s">
        <v>2698</v>
      </c>
      <c r="BQ299" s="83" t="s">
        <v>2699</v>
      </c>
      <c r="BR299" s="83" t="s">
        <v>2693</v>
      </c>
      <c r="BS299" s="83" t="s">
        <v>2699</v>
      </c>
      <c r="BT299" s="83" t="s">
        <v>2696</v>
      </c>
      <c r="BU299" s="83" t="s">
        <v>2699</v>
      </c>
      <c r="BV299" s="83" t="s">
        <v>2696</v>
      </c>
      <c r="BW299" s="83" t="s">
        <v>2698</v>
      </c>
      <c r="BX299" s="83" t="s">
        <v>2696</v>
      </c>
      <c r="BY299" s="83" t="s">
        <v>2699</v>
      </c>
      <c r="BZ299" s="83" t="s">
        <v>2693</v>
      </c>
      <c r="CA299" s="83" t="s">
        <v>2693</v>
      </c>
      <c r="CB299" s="83" t="s">
        <v>2694</v>
      </c>
      <c r="CC299" s="83" t="s">
        <v>2699</v>
      </c>
      <c r="CD299" s="83" t="s">
        <v>2696</v>
      </c>
      <c r="CF299" s="83" t="s">
        <v>3035</v>
      </c>
      <c r="CG299" s="83" t="s">
        <v>3271</v>
      </c>
      <c r="CH299" s="83" t="s">
        <v>2693</v>
      </c>
      <c r="CI299" s="83" t="s">
        <v>3992</v>
      </c>
      <c r="CJ299" s="83" t="s">
        <v>2701</v>
      </c>
      <c r="CK299" s="144">
        <v>0</v>
      </c>
      <c r="CL299" s="99">
        <v>9000</v>
      </c>
    </row>
    <row r="300" spans="1:90">
      <c r="A300" s="83" t="s">
        <v>1123</v>
      </c>
      <c r="B300" s="83" t="s">
        <v>2392</v>
      </c>
      <c r="D300" s="83" t="s">
        <v>688</v>
      </c>
      <c r="E300" s="83" t="s">
        <v>3458</v>
      </c>
      <c r="F300" s="83" t="s">
        <v>3425</v>
      </c>
      <c r="G300" s="83" t="s">
        <v>1155</v>
      </c>
      <c r="H300" s="83" t="s">
        <v>1201</v>
      </c>
      <c r="I300" s="83" t="s">
        <v>1202</v>
      </c>
      <c r="J300" s="83" t="s">
        <v>1203</v>
      </c>
      <c r="K300" s="83" t="s">
        <v>565</v>
      </c>
      <c r="L300" s="83" t="s">
        <v>398</v>
      </c>
      <c r="M300" s="83" t="s">
        <v>399</v>
      </c>
      <c r="N300" s="83" t="s">
        <v>3057</v>
      </c>
      <c r="O300" s="83" t="s">
        <v>106</v>
      </c>
      <c r="P300" s="83">
        <v>4</v>
      </c>
      <c r="Q300" s="83" t="s">
        <v>106</v>
      </c>
      <c r="R300" s="83" t="s">
        <v>2799</v>
      </c>
      <c r="S300" s="83" t="s">
        <v>2712</v>
      </c>
      <c r="T300" s="83" t="s">
        <v>2703</v>
      </c>
      <c r="U300" s="83" t="s">
        <v>401</v>
      </c>
      <c r="AC300" s="83" t="s">
        <v>401</v>
      </c>
      <c r="AD300" s="83">
        <v>53000</v>
      </c>
      <c r="AF300" s="83">
        <v>10000</v>
      </c>
      <c r="AJ300" s="83">
        <v>1</v>
      </c>
      <c r="AK300" s="83">
        <v>1</v>
      </c>
      <c r="AL300" s="83">
        <v>800</v>
      </c>
      <c r="AM300" s="83" t="s">
        <v>2693</v>
      </c>
      <c r="BK300" s="83" t="s">
        <v>2694</v>
      </c>
      <c r="BL300" s="83" t="s">
        <v>2704</v>
      </c>
      <c r="BM300" s="83" t="s">
        <v>2698</v>
      </c>
      <c r="BN300" s="83" t="s">
        <v>2698</v>
      </c>
      <c r="BO300" s="83" t="s">
        <v>2697</v>
      </c>
      <c r="BP300" s="83" t="s">
        <v>2695</v>
      </c>
      <c r="BQ300" s="83" t="s">
        <v>2699</v>
      </c>
      <c r="BR300" s="83" t="s">
        <v>2693</v>
      </c>
      <c r="BS300" s="83" t="s">
        <v>2699</v>
      </c>
      <c r="BT300" s="83" t="s">
        <v>2696</v>
      </c>
      <c r="BU300" s="83" t="s">
        <v>2699</v>
      </c>
      <c r="BV300" s="83" t="s">
        <v>2697</v>
      </c>
      <c r="BW300" s="83" t="s">
        <v>2698</v>
      </c>
      <c r="BX300" s="83" t="s">
        <v>2696</v>
      </c>
      <c r="BY300" s="83" t="s">
        <v>2699</v>
      </c>
      <c r="BZ300" s="83" t="s">
        <v>2699</v>
      </c>
      <c r="CA300" s="83" t="s">
        <v>2693</v>
      </c>
      <c r="CB300" s="83" t="s">
        <v>2694</v>
      </c>
      <c r="CC300" s="83" t="s">
        <v>2696</v>
      </c>
      <c r="CD300" s="83" t="s">
        <v>2696</v>
      </c>
      <c r="CF300" s="83" t="s">
        <v>940</v>
      </c>
      <c r="CG300" s="83" t="s">
        <v>941</v>
      </c>
      <c r="CH300" s="83" t="s">
        <v>2693</v>
      </c>
      <c r="CI300" s="83" t="s">
        <v>3992</v>
      </c>
      <c r="CJ300" s="83" t="s">
        <v>2701</v>
      </c>
      <c r="CK300" s="144">
        <v>0</v>
      </c>
      <c r="CL300"/>
    </row>
    <row r="301" spans="1:90">
      <c r="A301" s="79" t="s">
        <v>3756</v>
      </c>
      <c r="B301" s="79" t="s">
        <v>3800</v>
      </c>
      <c r="C301" s="79"/>
      <c r="D301" s="79" t="s">
        <v>688</v>
      </c>
      <c r="E301" s="79" t="s">
        <v>3800</v>
      </c>
      <c r="F301" s="79">
        <v>9687</v>
      </c>
      <c r="G301" s="79" t="s">
        <v>3857</v>
      </c>
      <c r="H301" s="79" t="s">
        <v>1201</v>
      </c>
      <c r="I301" s="79" t="s">
        <v>1202</v>
      </c>
      <c r="J301" s="79" t="s">
        <v>1203</v>
      </c>
      <c r="K301" s="79" t="s">
        <v>565</v>
      </c>
      <c r="L301" s="79" t="s">
        <v>398</v>
      </c>
      <c r="M301" s="79" t="s">
        <v>399</v>
      </c>
      <c r="N301" s="79" t="s">
        <v>3228</v>
      </c>
      <c r="O301" s="79" t="s">
        <v>106</v>
      </c>
      <c r="P301" s="79"/>
      <c r="Q301" s="79" t="s">
        <v>106</v>
      </c>
      <c r="R301" s="79">
        <v>24</v>
      </c>
      <c r="S301" s="90">
        <v>33969</v>
      </c>
      <c r="T301" s="79" t="s">
        <v>2703</v>
      </c>
      <c r="U301" s="79" t="s">
        <v>401</v>
      </c>
      <c r="AC301" s="79" t="s">
        <v>401</v>
      </c>
      <c r="AD301" s="79">
        <v>0</v>
      </c>
      <c r="AE301" s="79"/>
      <c r="AF301" s="79">
        <v>20000</v>
      </c>
      <c r="AG301" s="79"/>
      <c r="AH301" s="79"/>
      <c r="AI301" s="79"/>
      <c r="AJ301" s="79">
        <v>1</v>
      </c>
      <c r="AK301" s="79">
        <v>1</v>
      </c>
      <c r="AL301" s="79">
        <v>0</v>
      </c>
      <c r="AM301" s="79" t="s">
        <v>2693</v>
      </c>
      <c r="AN301" s="79"/>
      <c r="AO301" s="79"/>
      <c r="AP301" s="79"/>
      <c r="AQ301" s="79"/>
      <c r="AR301" s="79"/>
      <c r="AS301" s="79"/>
      <c r="AT301" s="79"/>
      <c r="AU301" s="79"/>
      <c r="AV301" s="79"/>
      <c r="AW301" s="79"/>
      <c r="AX301" s="79"/>
      <c r="AY301" s="79"/>
      <c r="AZ301" s="79"/>
      <c r="BA301" s="79"/>
      <c r="BB301" s="79"/>
      <c r="BC301" s="79"/>
      <c r="BD301" s="79"/>
      <c r="BE301" s="79"/>
      <c r="BF301" s="79"/>
      <c r="BG301" s="79"/>
      <c r="BH301" s="79"/>
      <c r="BI301" s="79"/>
      <c r="BJ301" s="79"/>
      <c r="BK301" s="79">
        <v>0</v>
      </c>
      <c r="BL301" s="79">
        <v>0</v>
      </c>
      <c r="BM301" s="79">
        <v>0</v>
      </c>
      <c r="BN301" s="79">
        <v>0</v>
      </c>
      <c r="BO301" s="79">
        <v>0</v>
      </c>
      <c r="BP301" s="79">
        <v>0</v>
      </c>
      <c r="BQ301" s="79">
        <v>0</v>
      </c>
      <c r="BR301" s="79">
        <v>0</v>
      </c>
      <c r="BS301" s="79">
        <v>0</v>
      </c>
      <c r="BT301" s="79">
        <v>0</v>
      </c>
      <c r="BU301" s="79">
        <v>0</v>
      </c>
      <c r="BV301" s="79">
        <v>0</v>
      </c>
      <c r="BW301" s="79">
        <v>0</v>
      </c>
      <c r="BX301" s="79">
        <v>0</v>
      </c>
      <c r="BY301" s="79">
        <v>0</v>
      </c>
      <c r="BZ301" s="79">
        <v>0</v>
      </c>
      <c r="CA301" s="79">
        <v>0</v>
      </c>
      <c r="CB301" s="79">
        <v>0</v>
      </c>
      <c r="CC301" s="79">
        <v>0</v>
      </c>
      <c r="CD301" s="79">
        <v>0</v>
      </c>
      <c r="CE301" s="79"/>
      <c r="CF301" s="79" t="s">
        <v>3909</v>
      </c>
      <c r="CG301" s="79" t="s">
        <v>3910</v>
      </c>
      <c r="CH301" s="79"/>
      <c r="CI301" s="79"/>
      <c r="CJ301" s="79"/>
      <c r="CK301" s="145"/>
      <c r="CL301"/>
    </row>
    <row r="302" spans="1:90">
      <c r="A302" s="83" t="s">
        <v>1564</v>
      </c>
      <c r="B302" s="83" t="s">
        <v>1003</v>
      </c>
      <c r="D302" s="83" t="s">
        <v>688</v>
      </c>
      <c r="E302" s="83" t="s">
        <v>1003</v>
      </c>
      <c r="F302" s="83" t="s">
        <v>1760</v>
      </c>
      <c r="G302" s="83" t="s">
        <v>1871</v>
      </c>
      <c r="H302" s="83" t="s">
        <v>1201</v>
      </c>
      <c r="I302" s="83" t="s">
        <v>1202</v>
      </c>
      <c r="J302" s="83" t="s">
        <v>1203</v>
      </c>
      <c r="K302" s="83" t="s">
        <v>565</v>
      </c>
      <c r="L302" s="83" t="s">
        <v>398</v>
      </c>
      <c r="M302" s="83" t="s">
        <v>399</v>
      </c>
      <c r="N302" s="83" t="s">
        <v>2807</v>
      </c>
      <c r="O302" s="83" t="s">
        <v>106</v>
      </c>
      <c r="P302" s="83">
        <v>8</v>
      </c>
      <c r="Q302" s="83" t="s">
        <v>106</v>
      </c>
      <c r="R302" s="83" t="s">
        <v>2753</v>
      </c>
      <c r="S302" s="83" t="s">
        <v>2804</v>
      </c>
      <c r="T302" s="83" t="s">
        <v>2703</v>
      </c>
      <c r="U302" s="83" t="s">
        <v>401</v>
      </c>
      <c r="AC302" s="83" t="s">
        <v>401</v>
      </c>
      <c r="AD302" s="83">
        <v>1724000</v>
      </c>
      <c r="AF302" s="83">
        <v>312000</v>
      </c>
      <c r="AJ302" s="83">
        <v>1</v>
      </c>
      <c r="AK302" s="83">
        <v>1</v>
      </c>
      <c r="AL302" s="83">
        <v>10340</v>
      </c>
      <c r="AM302" s="83" t="s">
        <v>2693</v>
      </c>
      <c r="BK302" s="83" t="s">
        <v>2694</v>
      </c>
      <c r="BL302" s="83" t="s">
        <v>2704</v>
      </c>
      <c r="BM302" s="83" t="s">
        <v>2697</v>
      </c>
      <c r="BN302" s="83" t="s">
        <v>2699</v>
      </c>
      <c r="BO302" s="83" t="s">
        <v>2699</v>
      </c>
      <c r="BP302" s="83" t="s">
        <v>2695</v>
      </c>
      <c r="BQ302" s="83" t="s">
        <v>2699</v>
      </c>
      <c r="BR302" s="83" t="s">
        <v>2693</v>
      </c>
      <c r="BS302" s="83" t="s">
        <v>2699</v>
      </c>
      <c r="BT302" s="83">
        <v>0</v>
      </c>
      <c r="BU302" s="83" t="s">
        <v>2699</v>
      </c>
      <c r="BV302" s="83" t="s">
        <v>2696</v>
      </c>
      <c r="BW302" s="83" t="s">
        <v>2698</v>
      </c>
      <c r="BX302" s="83" t="s">
        <v>2696</v>
      </c>
      <c r="BY302" s="83" t="s">
        <v>2699</v>
      </c>
      <c r="BZ302" s="83" t="s">
        <v>2699</v>
      </c>
      <c r="CA302" s="83" t="s">
        <v>2693</v>
      </c>
      <c r="CB302" s="83">
        <v>9</v>
      </c>
      <c r="CC302" s="83" t="s">
        <v>2699</v>
      </c>
      <c r="CD302" s="83" t="s">
        <v>2699</v>
      </c>
      <c r="CF302" s="83" t="s">
        <v>2228</v>
      </c>
      <c r="CG302" s="83" t="s">
        <v>2229</v>
      </c>
      <c r="CH302" s="83" t="s">
        <v>2695</v>
      </c>
      <c r="CI302" s="83" t="s">
        <v>648</v>
      </c>
      <c r="CJ302" s="83" t="s">
        <v>2731</v>
      </c>
      <c r="CK302" s="144">
        <v>0</v>
      </c>
      <c r="CL302" s="99">
        <v>30000</v>
      </c>
    </row>
    <row r="303" spans="1:90">
      <c r="A303" s="83" t="s">
        <v>1140</v>
      </c>
      <c r="B303" s="83" t="s">
        <v>1083</v>
      </c>
      <c r="D303" s="83" t="s">
        <v>688</v>
      </c>
      <c r="E303" s="83" t="s">
        <v>1083</v>
      </c>
      <c r="F303" s="83" t="s">
        <v>3459</v>
      </c>
      <c r="G303" s="83" t="s">
        <v>1182</v>
      </c>
      <c r="H303" s="83" t="s">
        <v>1201</v>
      </c>
      <c r="I303" s="83" t="s">
        <v>1202</v>
      </c>
      <c r="J303" s="83" t="s">
        <v>1203</v>
      </c>
      <c r="K303" s="83" t="s">
        <v>565</v>
      </c>
      <c r="L303" s="83" t="s">
        <v>398</v>
      </c>
      <c r="M303" s="83" t="s">
        <v>399</v>
      </c>
      <c r="N303" s="83" t="s">
        <v>3417</v>
      </c>
      <c r="O303" s="83" t="s">
        <v>106</v>
      </c>
      <c r="P303" s="83">
        <v>4</v>
      </c>
      <c r="Q303" s="83" t="s">
        <v>106</v>
      </c>
      <c r="R303" s="83" t="s">
        <v>2753</v>
      </c>
      <c r="S303" s="83" t="s">
        <v>2759</v>
      </c>
      <c r="T303" s="83" t="s">
        <v>2703</v>
      </c>
      <c r="U303" s="83" t="s">
        <v>401</v>
      </c>
      <c r="AC303" s="83" t="s">
        <v>401</v>
      </c>
      <c r="AD303" s="83">
        <v>579000</v>
      </c>
      <c r="AF303" s="83">
        <v>41000</v>
      </c>
      <c r="AJ303" s="83">
        <v>1</v>
      </c>
      <c r="AK303" s="83">
        <v>1</v>
      </c>
      <c r="AL303" s="83">
        <v>4859</v>
      </c>
      <c r="AM303" s="83" t="s">
        <v>2693</v>
      </c>
      <c r="BK303" s="83" t="s">
        <v>2694</v>
      </c>
      <c r="BL303" s="83" t="s">
        <v>2704</v>
      </c>
      <c r="BM303" s="83" t="s">
        <v>2697</v>
      </c>
      <c r="BN303" s="83" t="s">
        <v>2698</v>
      </c>
      <c r="BO303" s="83" t="s">
        <v>2697</v>
      </c>
      <c r="BP303" s="83" t="s">
        <v>2695</v>
      </c>
      <c r="BQ303" s="83" t="s">
        <v>2699</v>
      </c>
      <c r="BR303" s="83" t="s">
        <v>2693</v>
      </c>
      <c r="BS303" s="83" t="s">
        <v>2699</v>
      </c>
      <c r="BT303" s="83" t="s">
        <v>2696</v>
      </c>
      <c r="BU303" s="83" t="s">
        <v>2699</v>
      </c>
      <c r="BV303" s="83" t="s">
        <v>2697</v>
      </c>
      <c r="BW303" s="83" t="s">
        <v>2698</v>
      </c>
      <c r="BX303" s="83" t="s">
        <v>2696</v>
      </c>
      <c r="BY303" s="83" t="s">
        <v>2699</v>
      </c>
      <c r="BZ303" s="83" t="s">
        <v>2699</v>
      </c>
      <c r="CA303" s="83" t="s">
        <v>2693</v>
      </c>
      <c r="CB303" s="83" t="s">
        <v>2694</v>
      </c>
      <c r="CC303" s="83" t="s">
        <v>2699</v>
      </c>
      <c r="CD303" s="83" t="s">
        <v>2696</v>
      </c>
      <c r="CF303" s="83" t="s">
        <v>1084</v>
      </c>
      <c r="CG303" s="83" t="s">
        <v>1085</v>
      </c>
      <c r="CH303" s="83" t="s">
        <v>2693</v>
      </c>
      <c r="CI303" s="83" t="s">
        <v>3992</v>
      </c>
      <c r="CJ303" s="83" t="s">
        <v>2701</v>
      </c>
      <c r="CK303" s="144">
        <v>1</v>
      </c>
      <c r="CL303" s="99">
        <v>11000</v>
      </c>
    </row>
    <row r="304" spans="1:90">
      <c r="A304" s="83" t="s">
        <v>1565</v>
      </c>
      <c r="B304" s="83" t="s">
        <v>964</v>
      </c>
      <c r="D304" s="83" t="s">
        <v>688</v>
      </c>
      <c r="E304" s="83" t="s">
        <v>964</v>
      </c>
      <c r="F304" s="83" t="s">
        <v>1761</v>
      </c>
      <c r="G304" s="83" t="s">
        <v>1872</v>
      </c>
      <c r="H304" s="83" t="s">
        <v>1201</v>
      </c>
      <c r="I304" s="83" t="s">
        <v>1202</v>
      </c>
      <c r="J304" s="83" t="s">
        <v>1203</v>
      </c>
      <c r="K304" s="83" t="s">
        <v>565</v>
      </c>
      <c r="L304" s="83" t="s">
        <v>398</v>
      </c>
      <c r="M304" s="83" t="s">
        <v>399</v>
      </c>
      <c r="N304" s="83" t="s">
        <v>2744</v>
      </c>
      <c r="O304" s="83" t="s">
        <v>106</v>
      </c>
      <c r="P304" s="83">
        <v>8</v>
      </c>
      <c r="Q304" s="83" t="s">
        <v>106</v>
      </c>
      <c r="R304" s="83" t="s">
        <v>2753</v>
      </c>
      <c r="S304" s="83" t="s">
        <v>2746</v>
      </c>
      <c r="T304" s="83" t="s">
        <v>2703</v>
      </c>
      <c r="U304" s="83" t="s">
        <v>401</v>
      </c>
      <c r="AC304" s="83" t="s">
        <v>401</v>
      </c>
      <c r="AD304" s="83">
        <v>694000</v>
      </c>
      <c r="AF304" s="83">
        <v>149000</v>
      </c>
      <c r="AJ304" s="83">
        <v>1</v>
      </c>
      <c r="AK304" s="83">
        <v>1</v>
      </c>
      <c r="AL304" s="83">
        <v>4950</v>
      </c>
      <c r="AM304" s="83" t="s">
        <v>2693</v>
      </c>
      <c r="BK304" s="83" t="s">
        <v>2694</v>
      </c>
      <c r="BL304" s="83" t="s">
        <v>2704</v>
      </c>
      <c r="BM304" s="83" t="s">
        <v>2698</v>
      </c>
      <c r="BN304" s="83" t="s">
        <v>2699</v>
      </c>
      <c r="BO304" s="83" t="s">
        <v>2693</v>
      </c>
      <c r="BP304" s="83" t="s">
        <v>2695</v>
      </c>
      <c r="BQ304" s="83" t="s">
        <v>2699</v>
      </c>
      <c r="BR304" s="83" t="s">
        <v>2693</v>
      </c>
      <c r="BS304" s="83" t="s">
        <v>2699</v>
      </c>
      <c r="BT304" s="83">
        <v>0</v>
      </c>
      <c r="BU304" s="83" t="s">
        <v>2699</v>
      </c>
      <c r="BV304" s="83" t="s">
        <v>2696</v>
      </c>
      <c r="BW304" s="83" t="s">
        <v>2698</v>
      </c>
      <c r="BX304" s="83" t="s">
        <v>2699</v>
      </c>
      <c r="BY304" s="83" t="s">
        <v>2699</v>
      </c>
      <c r="BZ304" s="83" t="s">
        <v>2693</v>
      </c>
      <c r="CA304" s="83" t="s">
        <v>2693</v>
      </c>
      <c r="CB304" s="83">
        <v>9</v>
      </c>
      <c r="CC304" s="83" t="s">
        <v>2699</v>
      </c>
      <c r="CD304" s="83" t="s">
        <v>2699</v>
      </c>
      <c r="CF304" s="83" t="s">
        <v>2092</v>
      </c>
      <c r="CG304" s="83" t="s">
        <v>2093</v>
      </c>
      <c r="CH304" s="83" t="s">
        <v>2695</v>
      </c>
      <c r="CI304" s="83" t="s">
        <v>648</v>
      </c>
      <c r="CJ304" s="83" t="s">
        <v>2731</v>
      </c>
      <c r="CK304" s="144">
        <v>0</v>
      </c>
      <c r="CL304" s="99">
        <v>3000</v>
      </c>
    </row>
    <row r="305" spans="1:90">
      <c r="A305" s="79" t="s">
        <v>3757</v>
      </c>
      <c r="B305" s="79" t="s">
        <v>3801</v>
      </c>
      <c r="C305" s="79"/>
      <c r="D305" s="79" t="s">
        <v>688</v>
      </c>
      <c r="E305" s="79" t="s">
        <v>3823</v>
      </c>
      <c r="F305" s="79">
        <v>1800</v>
      </c>
      <c r="G305" s="79" t="s">
        <v>3858</v>
      </c>
      <c r="H305" s="79" t="s">
        <v>1201</v>
      </c>
      <c r="I305" s="79" t="s">
        <v>1202</v>
      </c>
      <c r="J305" s="79" t="s">
        <v>1203</v>
      </c>
      <c r="K305" s="79" t="s">
        <v>565</v>
      </c>
      <c r="L305" s="79" t="s">
        <v>398</v>
      </c>
      <c r="M305" s="79" t="s">
        <v>399</v>
      </c>
      <c r="N305" s="79" t="s">
        <v>2705</v>
      </c>
      <c r="O305" s="79" t="s">
        <v>106</v>
      </c>
      <c r="P305" s="79"/>
      <c r="Q305" s="79" t="s">
        <v>106</v>
      </c>
      <c r="R305" s="79">
        <v>24</v>
      </c>
      <c r="S305" s="90">
        <v>32873</v>
      </c>
      <c r="T305" s="79" t="s">
        <v>2703</v>
      </c>
      <c r="U305" s="79" t="s">
        <v>401</v>
      </c>
      <c r="AC305" s="79" t="s">
        <v>401</v>
      </c>
      <c r="AD305" s="79">
        <v>0</v>
      </c>
      <c r="AE305" s="79"/>
      <c r="AF305" s="79">
        <v>10000</v>
      </c>
      <c r="AG305" s="79"/>
      <c r="AH305" s="79"/>
      <c r="AI305" s="79"/>
      <c r="AJ305" s="79">
        <v>1</v>
      </c>
      <c r="AK305" s="79">
        <v>1</v>
      </c>
      <c r="AL305" s="79">
        <v>0</v>
      </c>
      <c r="AM305" s="79" t="s">
        <v>2693</v>
      </c>
      <c r="AN305" s="79"/>
      <c r="AO305" s="79"/>
      <c r="AP305" s="79"/>
      <c r="AQ305" s="79"/>
      <c r="AR305" s="79"/>
      <c r="AS305" s="79"/>
      <c r="AT305" s="79"/>
      <c r="AU305" s="79"/>
      <c r="AV305" s="79"/>
      <c r="AW305" s="79"/>
      <c r="AX305" s="79"/>
      <c r="AY305" s="79"/>
      <c r="AZ305" s="79"/>
      <c r="BA305" s="79"/>
      <c r="BB305" s="79"/>
      <c r="BC305" s="79"/>
      <c r="BD305" s="79"/>
      <c r="BE305" s="79"/>
      <c r="BF305" s="79"/>
      <c r="BG305" s="79"/>
      <c r="BH305" s="79"/>
      <c r="BI305" s="79"/>
      <c r="BJ305" s="79"/>
      <c r="BK305" s="79">
        <v>0</v>
      </c>
      <c r="BL305" s="79">
        <v>0</v>
      </c>
      <c r="BM305" s="79">
        <v>0</v>
      </c>
      <c r="BN305" s="79">
        <v>0</v>
      </c>
      <c r="BO305" s="79">
        <v>0</v>
      </c>
      <c r="BP305" s="79">
        <v>0</v>
      </c>
      <c r="BQ305" s="79">
        <v>0</v>
      </c>
      <c r="BR305" s="79">
        <v>0</v>
      </c>
      <c r="BS305" s="79">
        <v>0</v>
      </c>
      <c r="BT305" s="79">
        <v>0</v>
      </c>
      <c r="BU305" s="79">
        <v>0</v>
      </c>
      <c r="BV305" s="79">
        <v>0</v>
      </c>
      <c r="BW305" s="79">
        <v>0</v>
      </c>
      <c r="BX305" s="79">
        <v>0</v>
      </c>
      <c r="BY305" s="79">
        <v>0</v>
      </c>
      <c r="BZ305" s="79">
        <v>0</v>
      </c>
      <c r="CA305" s="79">
        <v>0</v>
      </c>
      <c r="CB305" s="79">
        <v>0</v>
      </c>
      <c r="CC305" s="79">
        <v>0</v>
      </c>
      <c r="CD305" s="79">
        <v>0</v>
      </c>
      <c r="CE305" s="79"/>
      <c r="CF305" s="79" t="s">
        <v>3911</v>
      </c>
      <c r="CG305" s="79" t="s">
        <v>3912</v>
      </c>
      <c r="CH305" s="79"/>
      <c r="CI305" s="79"/>
      <c r="CJ305" s="79"/>
      <c r="CK305" s="145"/>
      <c r="CL305"/>
    </row>
    <row r="306" spans="1:90">
      <c r="A306" s="79" t="s">
        <v>3758</v>
      </c>
      <c r="B306" s="79" t="s">
        <v>3802</v>
      </c>
      <c r="C306" s="79"/>
      <c r="D306" s="79" t="s">
        <v>688</v>
      </c>
      <c r="E306" s="79" t="s">
        <v>3824</v>
      </c>
      <c r="F306" s="79">
        <v>4201</v>
      </c>
      <c r="G306" s="79" t="s">
        <v>3859</v>
      </c>
      <c r="H306" s="79" t="s">
        <v>1201</v>
      </c>
      <c r="I306" s="79" t="s">
        <v>1202</v>
      </c>
      <c r="J306" s="79" t="s">
        <v>1203</v>
      </c>
      <c r="K306" s="79" t="s">
        <v>565</v>
      </c>
      <c r="L306" s="79" t="s">
        <v>398</v>
      </c>
      <c r="M306" s="79" t="s">
        <v>399</v>
      </c>
      <c r="N306" s="79" t="s">
        <v>2711</v>
      </c>
      <c r="O306" s="79" t="s">
        <v>106</v>
      </c>
      <c r="P306" s="79"/>
      <c r="Q306" s="79" t="s">
        <v>106</v>
      </c>
      <c r="R306" s="79">
        <v>24</v>
      </c>
      <c r="S306" s="90">
        <v>30316</v>
      </c>
      <c r="T306" s="79" t="s">
        <v>2703</v>
      </c>
      <c r="U306" s="79" t="s">
        <v>401</v>
      </c>
      <c r="AC306" s="79" t="s">
        <v>401</v>
      </c>
      <c r="AD306" s="79">
        <v>0</v>
      </c>
      <c r="AE306" s="79"/>
      <c r="AF306" s="79">
        <v>10000</v>
      </c>
      <c r="AG306" s="79"/>
      <c r="AH306" s="79"/>
      <c r="AI306" s="79"/>
      <c r="AJ306" s="79">
        <v>1</v>
      </c>
      <c r="AK306" s="79">
        <v>1</v>
      </c>
      <c r="AL306" s="79">
        <v>0</v>
      </c>
      <c r="AM306" s="79" t="s">
        <v>2693</v>
      </c>
      <c r="AN306" s="79"/>
      <c r="AO306" s="79"/>
      <c r="AP306" s="79"/>
      <c r="AQ306" s="79"/>
      <c r="AR306" s="79"/>
      <c r="AS306" s="79"/>
      <c r="AT306" s="79"/>
      <c r="AU306" s="79"/>
      <c r="AV306" s="79"/>
      <c r="AW306" s="79"/>
      <c r="AX306" s="79"/>
      <c r="AY306" s="79"/>
      <c r="AZ306" s="79"/>
      <c r="BA306" s="79"/>
      <c r="BB306" s="79"/>
      <c r="BC306" s="79"/>
      <c r="BD306" s="79"/>
      <c r="BE306" s="79"/>
      <c r="BF306" s="79"/>
      <c r="BG306" s="79"/>
      <c r="BH306" s="79"/>
      <c r="BI306" s="79"/>
      <c r="BJ306" s="79"/>
      <c r="BK306" s="79">
        <v>0</v>
      </c>
      <c r="BL306" s="79">
        <v>0</v>
      </c>
      <c r="BM306" s="79">
        <v>0</v>
      </c>
      <c r="BN306" s="79">
        <v>0</v>
      </c>
      <c r="BO306" s="79">
        <v>0</v>
      </c>
      <c r="BP306" s="79">
        <v>0</v>
      </c>
      <c r="BQ306" s="79">
        <v>0</v>
      </c>
      <c r="BR306" s="79">
        <v>0</v>
      </c>
      <c r="BS306" s="79">
        <v>0</v>
      </c>
      <c r="BT306" s="79">
        <v>0</v>
      </c>
      <c r="BU306" s="79">
        <v>0</v>
      </c>
      <c r="BV306" s="79">
        <v>0</v>
      </c>
      <c r="BW306" s="79">
        <v>0</v>
      </c>
      <c r="BX306" s="79">
        <v>0</v>
      </c>
      <c r="BY306" s="79">
        <v>0</v>
      </c>
      <c r="BZ306" s="79">
        <v>0</v>
      </c>
      <c r="CA306" s="79">
        <v>0</v>
      </c>
      <c r="CB306" s="79">
        <v>0</v>
      </c>
      <c r="CC306" s="79">
        <v>0</v>
      </c>
      <c r="CD306" s="79">
        <v>0</v>
      </c>
      <c r="CE306" s="79"/>
      <c r="CF306" s="79" t="s">
        <v>3913</v>
      </c>
      <c r="CG306" s="79" t="s">
        <v>3914</v>
      </c>
      <c r="CH306" s="79"/>
      <c r="CI306" s="79"/>
      <c r="CJ306" s="79"/>
      <c r="CK306" s="145"/>
      <c r="CL306"/>
    </row>
    <row r="307" spans="1:90">
      <c r="A307" s="83" t="s">
        <v>1126</v>
      </c>
      <c r="B307" s="83" t="s">
        <v>3460</v>
      </c>
      <c r="D307" s="83" t="s">
        <v>688</v>
      </c>
      <c r="E307" s="83" t="s">
        <v>3460</v>
      </c>
      <c r="F307" s="83" t="s">
        <v>3461</v>
      </c>
      <c r="G307" s="83" t="s">
        <v>1183</v>
      </c>
      <c r="H307" s="83" t="s">
        <v>1201</v>
      </c>
      <c r="I307" s="83" t="s">
        <v>1202</v>
      </c>
      <c r="J307" s="83" t="s">
        <v>1203</v>
      </c>
      <c r="K307" s="83" t="s">
        <v>565</v>
      </c>
      <c r="L307" s="83" t="s">
        <v>398</v>
      </c>
      <c r="M307" s="83" t="s">
        <v>399</v>
      </c>
      <c r="N307" s="83" t="s">
        <v>2832</v>
      </c>
      <c r="O307" s="83" t="s">
        <v>106</v>
      </c>
      <c r="P307" s="83">
        <v>4</v>
      </c>
      <c r="Q307" s="83" t="s">
        <v>106</v>
      </c>
      <c r="R307" s="83" t="s">
        <v>2753</v>
      </c>
      <c r="S307" s="83" t="s">
        <v>2714</v>
      </c>
      <c r="T307" s="83" t="s">
        <v>2703</v>
      </c>
      <c r="U307" s="83" t="s">
        <v>401</v>
      </c>
      <c r="AC307" s="83" t="s">
        <v>401</v>
      </c>
      <c r="AD307" s="83">
        <v>186000</v>
      </c>
      <c r="AF307" s="83">
        <v>12000</v>
      </c>
      <c r="AJ307" s="83">
        <v>1</v>
      </c>
      <c r="AK307" s="83">
        <v>1</v>
      </c>
      <c r="AL307" s="83">
        <v>1485</v>
      </c>
      <c r="AM307" s="83" t="s">
        <v>2693</v>
      </c>
      <c r="BK307" s="83" t="s">
        <v>2694</v>
      </c>
      <c r="BL307" s="83" t="s">
        <v>2698</v>
      </c>
      <c r="BM307" s="83" t="s">
        <v>2698</v>
      </c>
      <c r="BN307" s="83" t="s">
        <v>2698</v>
      </c>
      <c r="BO307" s="83" t="s">
        <v>2697</v>
      </c>
      <c r="BP307" s="83" t="s">
        <v>2695</v>
      </c>
      <c r="BQ307" s="83" t="s">
        <v>2699</v>
      </c>
      <c r="BR307" s="83" t="s">
        <v>2693</v>
      </c>
      <c r="BS307" s="83" t="s">
        <v>2699</v>
      </c>
      <c r="BT307" s="83" t="s">
        <v>2696</v>
      </c>
      <c r="BU307" s="83" t="s">
        <v>2699</v>
      </c>
      <c r="BV307" s="83" t="s">
        <v>2697</v>
      </c>
      <c r="BW307" s="83" t="s">
        <v>2698</v>
      </c>
      <c r="BX307" s="83" t="s">
        <v>2696</v>
      </c>
      <c r="BY307" s="83" t="s">
        <v>2699</v>
      </c>
      <c r="BZ307" s="83" t="s">
        <v>2699</v>
      </c>
      <c r="CA307" s="83" t="s">
        <v>2693</v>
      </c>
      <c r="CB307" s="83">
        <v>9</v>
      </c>
      <c r="CC307" s="83" t="s">
        <v>2696</v>
      </c>
      <c r="CD307" s="83" t="s">
        <v>2696</v>
      </c>
      <c r="CF307" s="83" t="s">
        <v>1008</v>
      </c>
      <c r="CG307" s="83" t="s">
        <v>1009</v>
      </c>
      <c r="CH307" s="83" t="s">
        <v>2693</v>
      </c>
      <c r="CI307" s="83" t="s">
        <v>3992</v>
      </c>
      <c r="CJ307" s="83" t="s">
        <v>2701</v>
      </c>
      <c r="CK307" s="144">
        <v>0</v>
      </c>
      <c r="CL307"/>
    </row>
    <row r="308" spans="1:90">
      <c r="A308" s="83" t="s">
        <v>2539</v>
      </c>
      <c r="B308" s="83" t="s">
        <v>733</v>
      </c>
      <c r="D308" s="83" t="s">
        <v>688</v>
      </c>
      <c r="E308" s="83" t="s">
        <v>2537</v>
      </c>
      <c r="F308" s="83" t="s">
        <v>2987</v>
      </c>
      <c r="G308" s="83" t="s">
        <v>2283</v>
      </c>
      <c r="H308" s="83" t="s">
        <v>1201</v>
      </c>
      <c r="I308" s="83" t="s">
        <v>1202</v>
      </c>
      <c r="J308" s="83" t="s">
        <v>1203</v>
      </c>
      <c r="K308" s="83" t="s">
        <v>565</v>
      </c>
      <c r="L308" s="83" t="s">
        <v>398</v>
      </c>
      <c r="M308" s="83" t="s">
        <v>399</v>
      </c>
      <c r="N308" s="83" t="s">
        <v>2899</v>
      </c>
      <c r="O308" s="83" t="s">
        <v>106</v>
      </c>
      <c r="P308" s="83">
        <v>9</v>
      </c>
      <c r="Q308" s="83" t="s">
        <v>106</v>
      </c>
      <c r="R308" s="83" t="s">
        <v>2727</v>
      </c>
      <c r="S308" s="83" t="s">
        <v>2988</v>
      </c>
      <c r="T308" s="83" t="s">
        <v>2843</v>
      </c>
      <c r="U308" s="83" t="s">
        <v>401</v>
      </c>
      <c r="AC308" s="83" t="s">
        <v>401</v>
      </c>
      <c r="AD308" s="83">
        <v>241000</v>
      </c>
      <c r="AF308" s="83">
        <v>112000</v>
      </c>
      <c r="AJ308" s="83">
        <v>1</v>
      </c>
      <c r="AK308" s="83">
        <v>1</v>
      </c>
      <c r="AL308" s="83">
        <v>4350</v>
      </c>
      <c r="AM308" s="83" t="s">
        <v>2693</v>
      </c>
      <c r="BK308" s="83" t="s">
        <v>2694</v>
      </c>
      <c r="BL308" s="83" t="s">
        <v>2699</v>
      </c>
      <c r="BM308" s="83" t="s">
        <v>2698</v>
      </c>
      <c r="BN308" s="83" t="s">
        <v>2698</v>
      </c>
      <c r="BO308" s="83" t="s">
        <v>2697</v>
      </c>
      <c r="BP308" s="83" t="s">
        <v>2697</v>
      </c>
      <c r="BQ308" s="83" t="s">
        <v>2699</v>
      </c>
      <c r="BR308" s="83" t="s">
        <v>2693</v>
      </c>
      <c r="BS308" s="83" t="s">
        <v>2699</v>
      </c>
      <c r="BT308" s="83" t="s">
        <v>2696</v>
      </c>
      <c r="BU308" s="83" t="s">
        <v>2699</v>
      </c>
      <c r="BV308" s="83" t="s">
        <v>2696</v>
      </c>
      <c r="BW308" s="83" t="s">
        <v>2693</v>
      </c>
      <c r="BX308" s="83" t="s">
        <v>2696</v>
      </c>
      <c r="BY308" s="83" t="s">
        <v>2699</v>
      </c>
      <c r="BZ308" s="83" t="s">
        <v>2693</v>
      </c>
      <c r="CA308" s="83" t="s">
        <v>2693</v>
      </c>
      <c r="CB308" s="83" t="s">
        <v>2694</v>
      </c>
      <c r="CC308" s="83" t="s">
        <v>2699</v>
      </c>
      <c r="CD308" s="83" t="s">
        <v>2696</v>
      </c>
      <c r="CF308" s="83" t="s">
        <v>2989</v>
      </c>
      <c r="CG308" s="83" t="s">
        <v>2990</v>
      </c>
      <c r="CH308" s="83" t="s">
        <v>2697</v>
      </c>
      <c r="CI308" s="83" t="s">
        <v>2695</v>
      </c>
      <c r="CJ308" s="83" t="s">
        <v>2757</v>
      </c>
      <c r="CK308" s="144">
        <v>0</v>
      </c>
      <c r="CL308" s="99">
        <v>34000</v>
      </c>
    </row>
    <row r="309" spans="1:90">
      <c r="A309" s="83" t="s">
        <v>2539</v>
      </c>
      <c r="B309" s="83" t="s">
        <v>733</v>
      </c>
      <c r="D309" s="83" t="s">
        <v>673</v>
      </c>
      <c r="E309" s="83" t="s">
        <v>2538</v>
      </c>
      <c r="F309" s="83" t="s">
        <v>2987</v>
      </c>
      <c r="G309" s="83" t="s">
        <v>2283</v>
      </c>
      <c r="H309" s="83" t="s">
        <v>1201</v>
      </c>
      <c r="I309" s="83" t="s">
        <v>1202</v>
      </c>
      <c r="J309" s="83" t="s">
        <v>1203</v>
      </c>
      <c r="K309" s="83" t="s">
        <v>565</v>
      </c>
      <c r="L309" s="83" t="s">
        <v>398</v>
      </c>
      <c r="M309" s="83" t="s">
        <v>399</v>
      </c>
      <c r="N309" s="83" t="s">
        <v>2899</v>
      </c>
      <c r="O309" s="83" t="s">
        <v>106</v>
      </c>
      <c r="P309" s="83">
        <v>4</v>
      </c>
      <c r="Q309" s="83" t="s">
        <v>106</v>
      </c>
      <c r="R309" s="83" t="s">
        <v>2730</v>
      </c>
      <c r="S309" s="83" t="s">
        <v>2991</v>
      </c>
      <c r="T309" s="83" t="s">
        <v>2843</v>
      </c>
      <c r="U309" s="83" t="s">
        <v>401</v>
      </c>
      <c r="AC309" s="83" t="s">
        <v>401</v>
      </c>
      <c r="AD309" s="83">
        <v>131000</v>
      </c>
      <c r="AF309" s="83">
        <v>26000</v>
      </c>
      <c r="AJ309" s="83">
        <v>1</v>
      </c>
      <c r="AK309" s="83">
        <v>1</v>
      </c>
      <c r="AL309" s="83">
        <v>1248</v>
      </c>
      <c r="AM309" s="83" t="s">
        <v>2693</v>
      </c>
      <c r="BK309" s="83" t="s">
        <v>2694</v>
      </c>
      <c r="BL309" s="83" t="s">
        <v>2704</v>
      </c>
      <c r="BM309" s="83" t="s">
        <v>2697</v>
      </c>
      <c r="BN309" s="83" t="s">
        <v>2698</v>
      </c>
      <c r="BO309" s="83" t="s">
        <v>2697</v>
      </c>
      <c r="BP309" s="83" t="s">
        <v>2698</v>
      </c>
      <c r="BQ309" s="83" t="s">
        <v>2699</v>
      </c>
      <c r="BR309" s="83" t="s">
        <v>2693</v>
      </c>
      <c r="BS309" s="83" t="s">
        <v>2699</v>
      </c>
      <c r="BT309" s="83" t="s">
        <v>2696</v>
      </c>
      <c r="BU309" s="83" t="s">
        <v>2699</v>
      </c>
      <c r="BV309" s="83" t="s">
        <v>2696</v>
      </c>
      <c r="BW309" s="83" t="s">
        <v>2698</v>
      </c>
      <c r="BX309" s="83" t="s">
        <v>2696</v>
      </c>
      <c r="BY309" s="83" t="s">
        <v>2699</v>
      </c>
      <c r="BZ309" s="83" t="s">
        <v>2693</v>
      </c>
      <c r="CA309" s="83" t="s">
        <v>2693</v>
      </c>
      <c r="CB309" s="83" t="s">
        <v>2694</v>
      </c>
      <c r="CC309" s="83" t="s">
        <v>2699</v>
      </c>
      <c r="CD309" s="83" t="s">
        <v>2696</v>
      </c>
      <c r="CF309" s="83" t="s">
        <v>2992</v>
      </c>
      <c r="CG309" s="83" t="s">
        <v>2993</v>
      </c>
      <c r="CH309" s="83" t="s">
        <v>2693</v>
      </c>
      <c r="CI309" s="83" t="s">
        <v>3992</v>
      </c>
      <c r="CJ309" s="83" t="s">
        <v>2701</v>
      </c>
      <c r="CK309" s="144">
        <v>0</v>
      </c>
      <c r="CL309"/>
    </row>
    <row r="310" spans="1:90">
      <c r="A310" s="83" t="s">
        <v>1211</v>
      </c>
      <c r="B310" s="83" t="s">
        <v>1240</v>
      </c>
      <c r="D310" s="83" t="s">
        <v>688</v>
      </c>
      <c r="E310" s="83" t="s">
        <v>1240</v>
      </c>
      <c r="F310" s="83" t="s">
        <v>1297</v>
      </c>
      <c r="G310" s="83" t="s">
        <v>1298</v>
      </c>
      <c r="H310" s="83" t="s">
        <v>1201</v>
      </c>
      <c r="I310" s="83" t="s">
        <v>1202</v>
      </c>
      <c r="J310" s="83" t="s">
        <v>1203</v>
      </c>
      <c r="K310" s="83" t="s">
        <v>565</v>
      </c>
      <c r="L310" s="83" t="s">
        <v>398</v>
      </c>
      <c r="M310" s="83" t="s">
        <v>399</v>
      </c>
      <c r="N310" s="83" t="s">
        <v>2752</v>
      </c>
      <c r="O310" s="83" t="s">
        <v>106</v>
      </c>
      <c r="P310" s="83">
        <v>5</v>
      </c>
      <c r="Q310" s="83" t="s">
        <v>106</v>
      </c>
      <c r="R310" s="83" t="s">
        <v>2808</v>
      </c>
      <c r="S310" s="83" t="s">
        <v>1449</v>
      </c>
      <c r="T310" s="83" t="s">
        <v>2703</v>
      </c>
      <c r="U310" s="83" t="s">
        <v>401</v>
      </c>
      <c r="AC310" s="83" t="s">
        <v>401</v>
      </c>
      <c r="AD310" s="83">
        <v>12210000</v>
      </c>
      <c r="AF310" s="83">
        <v>0</v>
      </c>
      <c r="AJ310" s="83">
        <v>1</v>
      </c>
      <c r="AK310" s="83">
        <v>5</v>
      </c>
      <c r="AL310" s="83">
        <v>181440</v>
      </c>
      <c r="AM310" s="83" t="s">
        <v>2693</v>
      </c>
      <c r="BK310" s="83" t="s">
        <v>2694</v>
      </c>
      <c r="BL310" s="83" t="s">
        <v>2696</v>
      </c>
      <c r="BM310" s="83" t="s">
        <v>2699</v>
      </c>
      <c r="BN310" s="83" t="s">
        <v>2698</v>
      </c>
      <c r="BO310" s="83" t="s">
        <v>2693</v>
      </c>
      <c r="BP310" s="83" t="s">
        <v>2699</v>
      </c>
      <c r="BQ310" s="83" t="s">
        <v>2699</v>
      </c>
      <c r="BR310" s="83" t="s">
        <v>2699</v>
      </c>
      <c r="BS310" s="83" t="s">
        <v>2699</v>
      </c>
      <c r="BT310" s="83" t="s">
        <v>2696</v>
      </c>
      <c r="BU310" s="83" t="s">
        <v>2699</v>
      </c>
      <c r="BV310" s="83" t="s">
        <v>2696</v>
      </c>
      <c r="BW310" s="83" t="s">
        <v>2695</v>
      </c>
      <c r="BX310" s="83" t="s">
        <v>2696</v>
      </c>
      <c r="BY310" s="83" t="s">
        <v>2699</v>
      </c>
      <c r="BZ310" s="83" t="s">
        <v>2699</v>
      </c>
      <c r="CA310" s="83" t="s">
        <v>2696</v>
      </c>
      <c r="CB310" s="83">
        <v>9</v>
      </c>
      <c r="CC310" s="83" t="s">
        <v>2699</v>
      </c>
      <c r="CD310" s="83" t="s">
        <v>2699</v>
      </c>
      <c r="CF310" s="83" t="s">
        <v>1359</v>
      </c>
      <c r="CG310" s="83" t="s">
        <v>1360</v>
      </c>
      <c r="CH310" s="83" t="s">
        <v>2725</v>
      </c>
      <c r="CI310" s="83" t="s">
        <v>778</v>
      </c>
      <c r="CJ310" s="83" t="s">
        <v>2780</v>
      </c>
      <c r="CK310" s="144">
        <v>0</v>
      </c>
      <c r="CL310"/>
    </row>
    <row r="311" spans="1:90">
      <c r="A311" s="83" t="s">
        <v>1212</v>
      </c>
      <c r="B311" s="83" t="s">
        <v>1241</v>
      </c>
      <c r="D311" s="83" t="s">
        <v>688</v>
      </c>
      <c r="E311" s="83" t="s">
        <v>1241</v>
      </c>
      <c r="F311" s="83" t="s">
        <v>1299</v>
      </c>
      <c r="G311" s="83" t="s">
        <v>1294</v>
      </c>
      <c r="H311" s="83" t="s">
        <v>1201</v>
      </c>
      <c r="I311" s="83" t="s">
        <v>1202</v>
      </c>
      <c r="J311" s="83" t="s">
        <v>1203</v>
      </c>
      <c r="K311" s="83" t="s">
        <v>565</v>
      </c>
      <c r="L311" s="83" t="s">
        <v>398</v>
      </c>
      <c r="M311" s="83" t="s">
        <v>399</v>
      </c>
      <c r="N311" s="83" t="s">
        <v>2752</v>
      </c>
      <c r="O311" s="83" t="s">
        <v>106</v>
      </c>
      <c r="P311" s="83">
        <v>5</v>
      </c>
      <c r="Q311" s="83" t="s">
        <v>106</v>
      </c>
      <c r="R311" s="83" t="s">
        <v>2808</v>
      </c>
      <c r="S311" s="83" t="s">
        <v>1450</v>
      </c>
      <c r="T311" s="83" t="s">
        <v>2703</v>
      </c>
      <c r="U311" s="83" t="s">
        <v>401</v>
      </c>
      <c r="AC311" s="83" t="s">
        <v>401</v>
      </c>
      <c r="AD311" s="83">
        <v>31129000</v>
      </c>
      <c r="AF311" s="83">
        <v>102000</v>
      </c>
      <c r="AJ311" s="83">
        <v>1</v>
      </c>
      <c r="AK311" s="83">
        <v>6</v>
      </c>
      <c r="AL311" s="83">
        <v>467875</v>
      </c>
      <c r="AM311" s="83" t="s">
        <v>2693</v>
      </c>
      <c r="BK311" s="83" t="s">
        <v>2694</v>
      </c>
      <c r="BL311" s="83" t="s">
        <v>2696</v>
      </c>
      <c r="BM311" s="83" t="s">
        <v>2699</v>
      </c>
      <c r="BN311" s="83" t="s">
        <v>2698</v>
      </c>
      <c r="BO311" s="83" t="s">
        <v>2697</v>
      </c>
      <c r="BP311" s="83" t="s">
        <v>2699</v>
      </c>
      <c r="BQ311" s="83" t="s">
        <v>2699</v>
      </c>
      <c r="BR311" s="83" t="s">
        <v>2699</v>
      </c>
      <c r="BS311" s="83" t="s">
        <v>2699</v>
      </c>
      <c r="BT311" s="83" t="s">
        <v>2696</v>
      </c>
      <c r="BU311" s="83" t="s">
        <v>2699</v>
      </c>
      <c r="BV311" s="83" t="s">
        <v>2696</v>
      </c>
      <c r="BW311" s="83" t="s">
        <v>2695</v>
      </c>
      <c r="BX311" s="83" t="s">
        <v>2696</v>
      </c>
      <c r="BY311" s="83" t="s">
        <v>2699</v>
      </c>
      <c r="BZ311" s="83" t="s">
        <v>2699</v>
      </c>
      <c r="CA311" s="83" t="s">
        <v>2696</v>
      </c>
      <c r="CB311" s="83">
        <v>9</v>
      </c>
      <c r="CC311" s="83" t="s">
        <v>2699</v>
      </c>
      <c r="CD311" s="83" t="s">
        <v>2696</v>
      </c>
      <c r="CF311" s="83" t="s">
        <v>1361</v>
      </c>
      <c r="CG311" s="83" t="s">
        <v>1362</v>
      </c>
      <c r="CH311" s="83" t="s">
        <v>2725</v>
      </c>
      <c r="CI311" s="83" t="s">
        <v>778</v>
      </c>
      <c r="CJ311" s="83" t="s">
        <v>2780</v>
      </c>
      <c r="CK311" s="144">
        <v>0</v>
      </c>
      <c r="CL311" s="99">
        <v>13000</v>
      </c>
    </row>
    <row r="312" spans="1:90">
      <c r="A312" s="83" t="s">
        <v>1485</v>
      </c>
      <c r="B312" s="83" t="s">
        <v>697</v>
      </c>
      <c r="D312" s="83" t="s">
        <v>688</v>
      </c>
      <c r="E312" s="83" t="s">
        <v>697</v>
      </c>
      <c r="F312" s="83" t="s">
        <v>1762</v>
      </c>
      <c r="G312" s="83" t="s">
        <v>1298</v>
      </c>
      <c r="H312" s="83" t="s">
        <v>1201</v>
      </c>
      <c r="I312" s="83" t="s">
        <v>1202</v>
      </c>
      <c r="J312" s="83" t="s">
        <v>1203</v>
      </c>
      <c r="K312" s="83" t="s">
        <v>565</v>
      </c>
      <c r="L312" s="83" t="s">
        <v>398</v>
      </c>
      <c r="M312" s="83" t="s">
        <v>399</v>
      </c>
      <c r="N312" s="83" t="s">
        <v>2752</v>
      </c>
      <c r="O312" s="83" t="s">
        <v>106</v>
      </c>
      <c r="P312" s="83">
        <v>5</v>
      </c>
      <c r="Q312" s="83" t="s">
        <v>106</v>
      </c>
      <c r="R312" s="83" t="s">
        <v>2808</v>
      </c>
      <c r="S312" s="83" t="s">
        <v>2746</v>
      </c>
      <c r="T312" s="83" t="s">
        <v>2703</v>
      </c>
      <c r="U312" s="83" t="s">
        <v>401</v>
      </c>
      <c r="AC312" s="83" t="s">
        <v>401</v>
      </c>
      <c r="AD312" s="83">
        <v>10784000</v>
      </c>
      <c r="AF312" s="83">
        <v>15000</v>
      </c>
      <c r="AJ312" s="83">
        <v>1</v>
      </c>
      <c r="AK312" s="83">
        <v>6</v>
      </c>
      <c r="AL312" s="83">
        <v>208320</v>
      </c>
      <c r="AM312" s="83" t="s">
        <v>2693</v>
      </c>
      <c r="BK312" s="83" t="s">
        <v>2694</v>
      </c>
      <c r="BL312" s="83" t="s">
        <v>2698</v>
      </c>
      <c r="BM312" s="83" t="s">
        <v>2699</v>
      </c>
      <c r="BN312" s="83" t="s">
        <v>2698</v>
      </c>
      <c r="BO312" s="83" t="s">
        <v>2693</v>
      </c>
      <c r="BP312" s="83" t="s">
        <v>2693</v>
      </c>
      <c r="BQ312" s="83" t="s">
        <v>2696</v>
      </c>
      <c r="BR312" s="83" t="s">
        <v>2699</v>
      </c>
      <c r="BS312" s="83" t="s">
        <v>2699</v>
      </c>
      <c r="BT312" s="83">
        <v>0</v>
      </c>
      <c r="BU312" s="83" t="s">
        <v>2699</v>
      </c>
      <c r="BV312" s="83" t="s">
        <v>2696</v>
      </c>
      <c r="BW312" s="83" t="s">
        <v>2698</v>
      </c>
      <c r="BX312" s="83" t="s">
        <v>2696</v>
      </c>
      <c r="BY312" s="83" t="s">
        <v>2699</v>
      </c>
      <c r="BZ312" s="83" t="s">
        <v>2696</v>
      </c>
      <c r="CA312" s="83" t="s">
        <v>2693</v>
      </c>
      <c r="CB312" s="83">
        <v>9</v>
      </c>
      <c r="CC312" s="83" t="s">
        <v>2699</v>
      </c>
      <c r="CD312" s="83" t="s">
        <v>2699</v>
      </c>
      <c r="CF312" s="83" t="s">
        <v>2202</v>
      </c>
      <c r="CG312" s="83" t="s">
        <v>2203</v>
      </c>
      <c r="CH312" s="83" t="s">
        <v>2725</v>
      </c>
      <c r="CI312" s="83" t="s">
        <v>778</v>
      </c>
      <c r="CJ312" s="83" t="s">
        <v>2780</v>
      </c>
      <c r="CK312" s="144">
        <v>0</v>
      </c>
      <c r="CL312"/>
    </row>
    <row r="313" spans="1:90">
      <c r="A313" s="83" t="s">
        <v>1129</v>
      </c>
      <c r="B313" s="83" t="s">
        <v>3462</v>
      </c>
      <c r="D313" s="83" t="s">
        <v>688</v>
      </c>
      <c r="E313" s="83" t="s">
        <v>2393</v>
      </c>
      <c r="F313" s="83" t="s">
        <v>3463</v>
      </c>
      <c r="G313" s="83" t="s">
        <v>1148</v>
      </c>
      <c r="H313" s="83" t="s">
        <v>1201</v>
      </c>
      <c r="I313" s="83" t="s">
        <v>1202</v>
      </c>
      <c r="J313" s="83" t="s">
        <v>1203</v>
      </c>
      <c r="K313" s="83" t="s">
        <v>565</v>
      </c>
      <c r="L313" s="83" t="s">
        <v>398</v>
      </c>
      <c r="M313" s="83" t="s">
        <v>399</v>
      </c>
      <c r="N313" s="83" t="s">
        <v>2792</v>
      </c>
      <c r="O313" s="83" t="s">
        <v>106</v>
      </c>
      <c r="P313" s="83">
        <v>4</v>
      </c>
      <c r="Q313" s="83" t="s">
        <v>106</v>
      </c>
      <c r="R313" s="83" t="s">
        <v>2799</v>
      </c>
      <c r="S313" s="83" t="s">
        <v>2746</v>
      </c>
      <c r="T313" s="83" t="s">
        <v>2703</v>
      </c>
      <c r="U313" s="83" t="s">
        <v>401</v>
      </c>
      <c r="AC313" s="83" t="s">
        <v>401</v>
      </c>
      <c r="AD313" s="83">
        <v>865000</v>
      </c>
      <c r="AF313" s="83">
        <v>214000</v>
      </c>
      <c r="AJ313" s="83">
        <v>1</v>
      </c>
      <c r="AK313" s="83">
        <v>1</v>
      </c>
      <c r="AL313" s="83">
        <v>10339</v>
      </c>
      <c r="AM313" s="83" t="s">
        <v>2693</v>
      </c>
      <c r="BK313" s="83" t="s">
        <v>2694</v>
      </c>
      <c r="BL313" s="83" t="s">
        <v>2697</v>
      </c>
      <c r="BM313" s="83" t="s">
        <v>2693</v>
      </c>
      <c r="BN313" s="83" t="s">
        <v>2698</v>
      </c>
      <c r="BO313" s="83" t="s">
        <v>2697</v>
      </c>
      <c r="BP313" s="83" t="s">
        <v>2695</v>
      </c>
      <c r="BQ313" s="83" t="s">
        <v>2699</v>
      </c>
      <c r="BR313" s="83" t="s">
        <v>2693</v>
      </c>
      <c r="BS313" s="83" t="s">
        <v>2699</v>
      </c>
      <c r="BT313" s="83" t="s">
        <v>2696</v>
      </c>
      <c r="BU313" s="83" t="s">
        <v>2699</v>
      </c>
      <c r="BV313" s="83" t="s">
        <v>2697</v>
      </c>
      <c r="BW313" s="83" t="s">
        <v>2698</v>
      </c>
      <c r="BX313" s="83" t="s">
        <v>2696</v>
      </c>
      <c r="BY313" s="83" t="s">
        <v>2699</v>
      </c>
      <c r="BZ313" s="83" t="s">
        <v>2699</v>
      </c>
      <c r="CA313" s="83" t="s">
        <v>2693</v>
      </c>
      <c r="CB313" s="83" t="s">
        <v>2694</v>
      </c>
      <c r="CC313" s="83" t="s">
        <v>2699</v>
      </c>
      <c r="CD313" s="83" t="s">
        <v>2696</v>
      </c>
      <c r="CF313" s="83" t="s">
        <v>1021</v>
      </c>
      <c r="CG313" s="83" t="s">
        <v>1022</v>
      </c>
      <c r="CH313" s="83" t="s">
        <v>2693</v>
      </c>
      <c r="CI313" s="83" t="s">
        <v>3992</v>
      </c>
      <c r="CJ313" s="83" t="s">
        <v>2701</v>
      </c>
      <c r="CK313" s="144">
        <v>2</v>
      </c>
      <c r="CL313" s="99">
        <v>18000</v>
      </c>
    </row>
    <row r="314" spans="1:90">
      <c r="A314" s="83" t="s">
        <v>1130</v>
      </c>
      <c r="B314" s="83" t="s">
        <v>2394</v>
      </c>
      <c r="D314" s="83" t="s">
        <v>688</v>
      </c>
      <c r="E314" s="83" t="s">
        <v>678</v>
      </c>
      <c r="F314" s="83" t="s">
        <v>1804</v>
      </c>
      <c r="G314" s="83" t="s">
        <v>1148</v>
      </c>
      <c r="H314" s="83" t="s">
        <v>1201</v>
      </c>
      <c r="I314" s="83" t="s">
        <v>1202</v>
      </c>
      <c r="J314" s="83" t="s">
        <v>1203</v>
      </c>
      <c r="K314" s="83" t="s">
        <v>565</v>
      </c>
      <c r="L314" s="83" t="s">
        <v>398</v>
      </c>
      <c r="M314" s="83" t="s">
        <v>399</v>
      </c>
      <c r="N314" s="83" t="s">
        <v>2792</v>
      </c>
      <c r="O314" s="83" t="s">
        <v>106</v>
      </c>
      <c r="P314" s="83">
        <v>9</v>
      </c>
      <c r="Q314" s="83" t="s">
        <v>106</v>
      </c>
      <c r="R314" s="83" t="s">
        <v>2799</v>
      </c>
      <c r="S314" s="83" t="s">
        <v>2714</v>
      </c>
      <c r="T314" s="83" t="s">
        <v>2703</v>
      </c>
      <c r="U314" s="83" t="s">
        <v>401</v>
      </c>
      <c r="AC314" s="83" t="s">
        <v>401</v>
      </c>
      <c r="AD314" s="83">
        <v>607000</v>
      </c>
      <c r="AF314" s="83">
        <v>63000</v>
      </c>
      <c r="AJ314" s="83">
        <v>1</v>
      </c>
      <c r="AK314" s="83">
        <v>1</v>
      </c>
      <c r="AL314" s="83">
        <v>10300</v>
      </c>
      <c r="AM314" s="83" t="s">
        <v>2693</v>
      </c>
      <c r="BK314" s="83" t="s">
        <v>2694</v>
      </c>
      <c r="BL314" s="83" t="s">
        <v>2693</v>
      </c>
      <c r="BM314" s="83" t="s">
        <v>2725</v>
      </c>
      <c r="BN314" s="83" t="s">
        <v>2698</v>
      </c>
      <c r="BO314" s="83" t="s">
        <v>2697</v>
      </c>
      <c r="BP314" s="83" t="s">
        <v>2697</v>
      </c>
      <c r="BQ314" s="83" t="s">
        <v>2699</v>
      </c>
      <c r="BR314" s="83" t="s">
        <v>2693</v>
      </c>
      <c r="BS314" s="83" t="s">
        <v>2699</v>
      </c>
      <c r="BT314" s="83" t="s">
        <v>2696</v>
      </c>
      <c r="BU314" s="83" t="s">
        <v>2699</v>
      </c>
      <c r="BV314" s="83" t="s">
        <v>2697</v>
      </c>
      <c r="BW314" s="83" t="s">
        <v>2693</v>
      </c>
      <c r="BX314" s="83" t="s">
        <v>2696</v>
      </c>
      <c r="BY314" s="83" t="s">
        <v>2699</v>
      </c>
      <c r="BZ314" s="83" t="s">
        <v>2699</v>
      </c>
      <c r="CA314" s="83" t="s">
        <v>2693</v>
      </c>
      <c r="CB314" s="83" t="s">
        <v>2694</v>
      </c>
      <c r="CC314" s="83" t="s">
        <v>2699</v>
      </c>
      <c r="CD314" s="83" t="s">
        <v>2696</v>
      </c>
      <c r="CF314" s="83" t="s">
        <v>1025</v>
      </c>
      <c r="CG314" s="83" t="s">
        <v>1026</v>
      </c>
      <c r="CH314" s="83" t="s">
        <v>2697</v>
      </c>
      <c r="CI314" s="83" t="s">
        <v>648</v>
      </c>
      <c r="CJ314" s="83" t="s">
        <v>2757</v>
      </c>
      <c r="CK314" s="144">
        <v>0</v>
      </c>
      <c r="CL314"/>
    </row>
    <row r="315" spans="1:90">
      <c r="A315" s="83" t="s">
        <v>1131</v>
      </c>
      <c r="B315" s="83" t="s">
        <v>2395</v>
      </c>
      <c r="D315" s="83" t="s">
        <v>688</v>
      </c>
      <c r="E315" s="83" t="s">
        <v>2396</v>
      </c>
      <c r="F315" s="83" t="s">
        <v>1804</v>
      </c>
      <c r="G315" s="83" t="s">
        <v>1148</v>
      </c>
      <c r="H315" s="83" t="s">
        <v>1201</v>
      </c>
      <c r="I315" s="83" t="s">
        <v>1202</v>
      </c>
      <c r="J315" s="83" t="s">
        <v>1203</v>
      </c>
      <c r="K315" s="83" t="s">
        <v>565</v>
      </c>
      <c r="L315" s="83" t="s">
        <v>398</v>
      </c>
      <c r="M315" s="83" t="s">
        <v>399</v>
      </c>
      <c r="N315" s="83" t="s">
        <v>2792</v>
      </c>
      <c r="O315" s="83" t="s">
        <v>106</v>
      </c>
      <c r="P315" s="83">
        <v>9</v>
      </c>
      <c r="Q315" s="83" t="s">
        <v>106</v>
      </c>
      <c r="R315" s="83" t="s">
        <v>2799</v>
      </c>
      <c r="S315" s="83" t="s">
        <v>2769</v>
      </c>
      <c r="T315" s="83" t="s">
        <v>2703</v>
      </c>
      <c r="U315" s="83" t="s">
        <v>401</v>
      </c>
      <c r="AC315" s="83" t="s">
        <v>401</v>
      </c>
      <c r="AD315" s="83">
        <v>84000</v>
      </c>
      <c r="AF315" s="83">
        <v>23000</v>
      </c>
      <c r="AJ315" s="83">
        <v>1</v>
      </c>
      <c r="AK315" s="83">
        <v>1</v>
      </c>
      <c r="AL315" s="83">
        <v>2500</v>
      </c>
      <c r="AM315" s="83" t="s">
        <v>2693</v>
      </c>
      <c r="BK315" s="83" t="s">
        <v>2694</v>
      </c>
      <c r="BL315" s="83" t="s">
        <v>2693</v>
      </c>
      <c r="BM315" s="83" t="s">
        <v>2698</v>
      </c>
      <c r="BN315" s="83" t="s">
        <v>2698</v>
      </c>
      <c r="BO315" s="83" t="s">
        <v>2697</v>
      </c>
      <c r="BP315" s="83" t="s">
        <v>2697</v>
      </c>
      <c r="BQ315" s="83" t="s">
        <v>2699</v>
      </c>
      <c r="BR315" s="83" t="s">
        <v>2693</v>
      </c>
      <c r="BS315" s="83" t="s">
        <v>2699</v>
      </c>
      <c r="BT315" s="83" t="s">
        <v>2696</v>
      </c>
      <c r="BU315" s="83" t="s">
        <v>2699</v>
      </c>
      <c r="BV315" s="83" t="s">
        <v>2697</v>
      </c>
      <c r="BW315" s="83" t="s">
        <v>2693</v>
      </c>
      <c r="BX315" s="83" t="s">
        <v>2696</v>
      </c>
      <c r="BY315" s="83" t="s">
        <v>2699</v>
      </c>
      <c r="BZ315" s="83" t="s">
        <v>2699</v>
      </c>
      <c r="CA315" s="83" t="s">
        <v>2693</v>
      </c>
      <c r="CB315" s="83" t="s">
        <v>2694</v>
      </c>
      <c r="CC315" s="83" t="s">
        <v>2696</v>
      </c>
      <c r="CD315" s="83" t="s">
        <v>2696</v>
      </c>
      <c r="CF315" s="83" t="s">
        <v>1033</v>
      </c>
      <c r="CG315" s="83" t="s">
        <v>1034</v>
      </c>
      <c r="CH315" s="83" t="s">
        <v>2697</v>
      </c>
      <c r="CI315" s="83" t="s">
        <v>648</v>
      </c>
      <c r="CJ315" s="83" t="s">
        <v>2757</v>
      </c>
      <c r="CK315" s="144">
        <v>0</v>
      </c>
      <c r="CL315"/>
    </row>
    <row r="316" spans="1:90">
      <c r="A316" s="83" t="s">
        <v>1474</v>
      </c>
      <c r="B316" s="83" t="s">
        <v>1521</v>
      </c>
      <c r="D316" s="83" t="s">
        <v>688</v>
      </c>
      <c r="E316" s="83" t="s">
        <v>1673</v>
      </c>
      <c r="F316" s="83" t="s">
        <v>1763</v>
      </c>
      <c r="G316" s="83" t="s">
        <v>1873</v>
      </c>
      <c r="H316" s="83" t="s">
        <v>1201</v>
      </c>
      <c r="I316" s="83" t="s">
        <v>1202</v>
      </c>
      <c r="J316" s="83" t="s">
        <v>1203</v>
      </c>
      <c r="K316" s="83" t="s">
        <v>565</v>
      </c>
      <c r="L316" s="83" t="s">
        <v>398</v>
      </c>
      <c r="M316" s="83" t="s">
        <v>399</v>
      </c>
      <c r="N316" s="83" t="s">
        <v>1909</v>
      </c>
      <c r="O316" s="83" t="s">
        <v>106</v>
      </c>
      <c r="P316" s="83">
        <v>1</v>
      </c>
      <c r="Q316" s="83" t="s">
        <v>106</v>
      </c>
      <c r="R316" s="83" t="s">
        <v>2691</v>
      </c>
      <c r="S316" s="83" t="s">
        <v>1450</v>
      </c>
      <c r="T316" s="83" t="s">
        <v>2703</v>
      </c>
      <c r="U316" s="83" t="s">
        <v>401</v>
      </c>
      <c r="AC316" s="83" t="s">
        <v>401</v>
      </c>
      <c r="AD316" s="83">
        <v>97000</v>
      </c>
      <c r="AF316" s="83">
        <v>0</v>
      </c>
      <c r="AJ316" s="83">
        <v>1</v>
      </c>
      <c r="AK316" s="83">
        <v>1</v>
      </c>
      <c r="AL316" s="83">
        <v>960</v>
      </c>
      <c r="AM316" s="83" t="s">
        <v>2693</v>
      </c>
      <c r="BK316" s="83" t="s">
        <v>2694</v>
      </c>
      <c r="BL316" s="83" t="s">
        <v>2704</v>
      </c>
      <c r="BM316" s="83" t="s">
        <v>2698</v>
      </c>
      <c r="BN316" s="83" t="s">
        <v>2699</v>
      </c>
      <c r="BO316" s="83" t="s">
        <v>2697</v>
      </c>
      <c r="BP316" s="83" t="s">
        <v>2695</v>
      </c>
      <c r="BQ316" s="83" t="s">
        <v>2693</v>
      </c>
      <c r="BR316" s="83" t="s">
        <v>2693</v>
      </c>
      <c r="BS316" s="83" t="s">
        <v>2699</v>
      </c>
      <c r="BT316" s="83">
        <v>0</v>
      </c>
      <c r="BU316" s="83" t="s">
        <v>2699</v>
      </c>
      <c r="BV316" s="83" t="s">
        <v>2696</v>
      </c>
      <c r="BW316" s="83" t="s">
        <v>2696</v>
      </c>
      <c r="BX316" s="83" t="s">
        <v>2693</v>
      </c>
      <c r="BY316" s="83" t="s">
        <v>2699</v>
      </c>
      <c r="BZ316" s="83" t="s">
        <v>2699</v>
      </c>
      <c r="CA316" s="83" t="s">
        <v>2693</v>
      </c>
      <c r="CB316" s="83">
        <v>3</v>
      </c>
      <c r="CC316" s="83" t="s">
        <v>2699</v>
      </c>
      <c r="CD316" s="83" t="s">
        <v>2696</v>
      </c>
      <c r="CF316" s="83" t="s">
        <v>2177</v>
      </c>
      <c r="CG316" s="83" t="s">
        <v>2178</v>
      </c>
      <c r="CH316" s="83" t="s">
        <v>2699</v>
      </c>
      <c r="CI316" s="83">
        <v>1</v>
      </c>
      <c r="CJ316" s="83" t="s">
        <v>2734</v>
      </c>
      <c r="CK316" s="144">
        <v>0</v>
      </c>
      <c r="CL316"/>
    </row>
    <row r="317" spans="1:90">
      <c r="A317" s="83" t="s">
        <v>3464</v>
      </c>
      <c r="B317" s="83" t="s">
        <v>3465</v>
      </c>
      <c r="D317" s="83" t="s">
        <v>688</v>
      </c>
      <c r="E317" s="83" t="s">
        <v>3466</v>
      </c>
      <c r="F317" s="83" t="s">
        <v>3467</v>
      </c>
      <c r="G317" s="83" t="s">
        <v>1184</v>
      </c>
      <c r="H317" s="83" t="s">
        <v>1201</v>
      </c>
      <c r="I317" s="83" t="s">
        <v>1202</v>
      </c>
      <c r="J317" s="83" t="s">
        <v>1203</v>
      </c>
      <c r="K317" s="83" t="s">
        <v>565</v>
      </c>
      <c r="L317" s="83" t="s">
        <v>398</v>
      </c>
      <c r="M317" s="83" t="s">
        <v>399</v>
      </c>
      <c r="N317" s="83" t="s">
        <v>2792</v>
      </c>
      <c r="O317" s="83" t="s">
        <v>106</v>
      </c>
      <c r="P317" s="83">
        <v>9</v>
      </c>
      <c r="Q317" s="83" t="s">
        <v>106</v>
      </c>
      <c r="R317" s="83" t="s">
        <v>2799</v>
      </c>
      <c r="S317" s="83" t="s">
        <v>2759</v>
      </c>
      <c r="T317" s="83" t="s">
        <v>2703</v>
      </c>
      <c r="U317" s="83" t="s">
        <v>401</v>
      </c>
      <c r="AC317" s="83" t="s">
        <v>401</v>
      </c>
      <c r="AD317" s="83">
        <v>353000</v>
      </c>
      <c r="AF317" s="83">
        <v>93000</v>
      </c>
      <c r="AJ317" s="83">
        <v>1</v>
      </c>
      <c r="AK317" s="83">
        <v>1</v>
      </c>
      <c r="AL317" s="83">
        <v>10000</v>
      </c>
      <c r="AM317" s="83" t="s">
        <v>2693</v>
      </c>
      <c r="BK317" s="83" t="s">
        <v>2694</v>
      </c>
      <c r="BL317" s="83" t="s">
        <v>2693</v>
      </c>
      <c r="BM317" s="83" t="s">
        <v>2697</v>
      </c>
      <c r="BN317" s="83" t="s">
        <v>2698</v>
      </c>
      <c r="BO317" s="83" t="s">
        <v>2697</v>
      </c>
      <c r="BP317" s="83" t="s">
        <v>2697</v>
      </c>
      <c r="BQ317" s="83" t="s">
        <v>2699</v>
      </c>
      <c r="BR317" s="83" t="s">
        <v>2693</v>
      </c>
      <c r="BS317" s="83" t="s">
        <v>2699</v>
      </c>
      <c r="BT317" s="83" t="s">
        <v>2696</v>
      </c>
      <c r="BU317" s="83" t="s">
        <v>2699</v>
      </c>
      <c r="BV317" s="83" t="s">
        <v>2697</v>
      </c>
      <c r="BW317" s="83" t="s">
        <v>2693</v>
      </c>
      <c r="BX317" s="83" t="s">
        <v>2696</v>
      </c>
      <c r="BY317" s="83" t="s">
        <v>2699</v>
      </c>
      <c r="BZ317" s="83" t="s">
        <v>2699</v>
      </c>
      <c r="CA317" s="83" t="s">
        <v>2693</v>
      </c>
      <c r="CB317" s="83" t="s">
        <v>2694</v>
      </c>
      <c r="CC317" s="83" t="s">
        <v>2696</v>
      </c>
      <c r="CD317" s="83" t="s">
        <v>2696</v>
      </c>
      <c r="CF317" s="83" t="s">
        <v>1027</v>
      </c>
      <c r="CG317" s="83" t="s">
        <v>1028</v>
      </c>
      <c r="CH317" s="83" t="s">
        <v>2697</v>
      </c>
      <c r="CI317" s="83" t="s">
        <v>648</v>
      </c>
      <c r="CJ317" s="83" t="s">
        <v>2757</v>
      </c>
      <c r="CK317" s="144">
        <v>2</v>
      </c>
      <c r="CL317" s="99">
        <v>7000</v>
      </c>
    </row>
    <row r="318" spans="1:90">
      <c r="A318" s="83" t="s">
        <v>3258</v>
      </c>
      <c r="B318" s="83" t="s">
        <v>2637</v>
      </c>
      <c r="D318" s="83" t="s">
        <v>688</v>
      </c>
      <c r="E318" s="83" t="s">
        <v>2588</v>
      </c>
      <c r="F318" s="83" t="s">
        <v>3259</v>
      </c>
      <c r="G318" s="83" t="s">
        <v>2320</v>
      </c>
      <c r="H318" s="83" t="s">
        <v>1201</v>
      </c>
      <c r="I318" s="83" t="s">
        <v>1202</v>
      </c>
      <c r="J318" s="83" t="s">
        <v>1203</v>
      </c>
      <c r="K318" s="83" t="s">
        <v>565</v>
      </c>
      <c r="L318" s="83" t="s">
        <v>398</v>
      </c>
      <c r="M318" s="83" t="s">
        <v>399</v>
      </c>
      <c r="N318" s="83" t="s">
        <v>3248</v>
      </c>
      <c r="O318" s="83" t="s">
        <v>106</v>
      </c>
      <c r="P318" s="83">
        <v>8</v>
      </c>
      <c r="Q318" s="83" t="s">
        <v>106</v>
      </c>
      <c r="R318" s="83" t="s">
        <v>2730</v>
      </c>
      <c r="S318" s="83" t="s">
        <v>2759</v>
      </c>
      <c r="T318" s="83" t="s">
        <v>2843</v>
      </c>
      <c r="U318" s="83" t="s">
        <v>401</v>
      </c>
      <c r="AC318" s="83" t="s">
        <v>401</v>
      </c>
      <c r="AD318" s="83">
        <v>488000</v>
      </c>
      <c r="AF318" s="83">
        <v>69000</v>
      </c>
      <c r="AJ318" s="83">
        <v>1</v>
      </c>
      <c r="AK318" s="83">
        <v>1</v>
      </c>
      <c r="AL318" s="83">
        <v>3312</v>
      </c>
      <c r="AM318" s="83" t="s">
        <v>2693</v>
      </c>
      <c r="BK318" s="83" t="s">
        <v>2694</v>
      </c>
      <c r="BL318" s="83" t="s">
        <v>2697</v>
      </c>
      <c r="BM318" s="83" t="s">
        <v>2699</v>
      </c>
      <c r="BN318" s="83" t="s">
        <v>2698</v>
      </c>
      <c r="BO318" s="83" t="s">
        <v>2697</v>
      </c>
      <c r="BP318" s="83" t="s">
        <v>2697</v>
      </c>
      <c r="BQ318" s="83" t="s">
        <v>2699</v>
      </c>
      <c r="BR318" s="83" t="s">
        <v>2699</v>
      </c>
      <c r="BS318" s="83" t="s">
        <v>2699</v>
      </c>
      <c r="BT318" s="83" t="s">
        <v>2696</v>
      </c>
      <c r="BU318" s="83" t="s">
        <v>2699</v>
      </c>
      <c r="BV318" s="83" t="s">
        <v>2696</v>
      </c>
      <c r="BW318" s="83" t="s">
        <v>2698</v>
      </c>
      <c r="BX318" s="83" t="s">
        <v>2696</v>
      </c>
      <c r="BY318" s="83" t="s">
        <v>2699</v>
      </c>
      <c r="BZ318" s="83" t="s">
        <v>2693</v>
      </c>
      <c r="CA318" s="83" t="s">
        <v>2693</v>
      </c>
      <c r="CB318" s="83" t="s">
        <v>2694</v>
      </c>
      <c r="CC318" s="83" t="s">
        <v>2699</v>
      </c>
      <c r="CD318" s="83" t="s">
        <v>2696</v>
      </c>
      <c r="CF318" s="83" t="s">
        <v>3260</v>
      </c>
      <c r="CG318" s="83" t="s">
        <v>3261</v>
      </c>
      <c r="CH318" s="83" t="s">
        <v>2695</v>
      </c>
      <c r="CI318" s="83" t="s">
        <v>648</v>
      </c>
      <c r="CJ318" s="83" t="s">
        <v>2726</v>
      </c>
      <c r="CK318" s="144">
        <v>0</v>
      </c>
      <c r="CL318" s="99">
        <v>184000</v>
      </c>
    </row>
    <row r="319" spans="1:90">
      <c r="A319" s="83" t="s">
        <v>1800</v>
      </c>
      <c r="B319" s="83" t="s">
        <v>2527</v>
      </c>
      <c r="D319" s="83" t="s">
        <v>688</v>
      </c>
      <c r="E319" s="83" t="s">
        <v>2528</v>
      </c>
      <c r="F319" s="83" t="s">
        <v>2970</v>
      </c>
      <c r="G319" s="83" t="s">
        <v>2281</v>
      </c>
      <c r="H319" s="83" t="s">
        <v>1201</v>
      </c>
      <c r="I319" s="83" t="s">
        <v>1202</v>
      </c>
      <c r="J319" s="83" t="s">
        <v>1203</v>
      </c>
      <c r="K319" s="83" t="s">
        <v>565</v>
      </c>
      <c r="L319" s="83" t="s">
        <v>398</v>
      </c>
      <c r="M319" s="83" t="s">
        <v>399</v>
      </c>
      <c r="N319" s="83" t="s">
        <v>2899</v>
      </c>
      <c r="O319" s="83" t="s">
        <v>106</v>
      </c>
      <c r="P319" s="83">
        <v>4</v>
      </c>
      <c r="Q319" s="83" t="s">
        <v>106</v>
      </c>
      <c r="R319" s="83" t="s">
        <v>2727</v>
      </c>
      <c r="S319" s="83" t="s">
        <v>1451</v>
      </c>
      <c r="T319" s="83" t="s">
        <v>2843</v>
      </c>
      <c r="U319" s="83" t="s">
        <v>401</v>
      </c>
      <c r="AC319" s="83" t="s">
        <v>401</v>
      </c>
      <c r="AD319" s="83">
        <v>232000</v>
      </c>
      <c r="AF319" s="83">
        <v>41000</v>
      </c>
      <c r="AJ319" s="83">
        <v>1</v>
      </c>
      <c r="AK319" s="83">
        <v>1</v>
      </c>
      <c r="AL319" s="83">
        <v>3196</v>
      </c>
      <c r="AM319" s="83" t="s">
        <v>2693</v>
      </c>
      <c r="BK319" s="83" t="s">
        <v>2694</v>
      </c>
      <c r="BL319" s="83" t="s">
        <v>2704</v>
      </c>
      <c r="BM319" s="83" t="s">
        <v>2698</v>
      </c>
      <c r="BN319" s="83" t="s">
        <v>2698</v>
      </c>
      <c r="BO319" s="83" t="s">
        <v>2697</v>
      </c>
      <c r="BP319" s="83" t="s">
        <v>2698</v>
      </c>
      <c r="BQ319" s="83" t="s">
        <v>2699</v>
      </c>
      <c r="BR319" s="83" t="s">
        <v>2693</v>
      </c>
      <c r="BS319" s="83" t="s">
        <v>2699</v>
      </c>
      <c r="BT319" s="83" t="s">
        <v>2696</v>
      </c>
      <c r="BU319" s="83" t="s">
        <v>2699</v>
      </c>
      <c r="BV319" s="83" t="s">
        <v>2696</v>
      </c>
      <c r="BW319" s="83" t="s">
        <v>2698</v>
      </c>
      <c r="BX319" s="83" t="s">
        <v>2696</v>
      </c>
      <c r="BY319" s="83" t="s">
        <v>2699</v>
      </c>
      <c r="BZ319" s="83" t="s">
        <v>2693</v>
      </c>
      <c r="CA319" s="83" t="s">
        <v>2693</v>
      </c>
      <c r="CB319" s="83" t="s">
        <v>2694</v>
      </c>
      <c r="CC319" s="83" t="s">
        <v>2699</v>
      </c>
      <c r="CD319" s="83" t="s">
        <v>2696</v>
      </c>
      <c r="CF319" s="83" t="s">
        <v>2971</v>
      </c>
      <c r="CG319" s="83" t="s">
        <v>2972</v>
      </c>
      <c r="CH319" s="83" t="s">
        <v>2693</v>
      </c>
      <c r="CI319" s="83" t="s">
        <v>3992</v>
      </c>
      <c r="CJ319" s="83" t="s">
        <v>2701</v>
      </c>
      <c r="CK319" s="144">
        <v>0</v>
      </c>
      <c r="CL319" s="99">
        <v>159000</v>
      </c>
    </row>
    <row r="320" spans="1:90">
      <c r="A320" s="83" t="s">
        <v>3078</v>
      </c>
      <c r="B320" s="83" t="s">
        <v>2577</v>
      </c>
      <c r="D320" s="83" t="s">
        <v>688</v>
      </c>
      <c r="E320" s="83" t="s">
        <v>2581</v>
      </c>
      <c r="F320" s="83" t="s">
        <v>3065</v>
      </c>
      <c r="G320" s="83" t="s">
        <v>2297</v>
      </c>
      <c r="H320" s="83" t="s">
        <v>1201</v>
      </c>
      <c r="I320" s="83" t="s">
        <v>1202</v>
      </c>
      <c r="J320" s="83" t="s">
        <v>1203</v>
      </c>
      <c r="K320" s="83" t="s">
        <v>565</v>
      </c>
      <c r="L320" s="83" t="s">
        <v>398</v>
      </c>
      <c r="M320" s="83" t="s">
        <v>399</v>
      </c>
      <c r="N320" s="83" t="s">
        <v>2711</v>
      </c>
      <c r="O320" s="83" t="s">
        <v>106</v>
      </c>
      <c r="P320" s="83">
        <v>1</v>
      </c>
      <c r="Q320" s="83" t="s">
        <v>106</v>
      </c>
      <c r="R320" s="83" t="s">
        <v>2730</v>
      </c>
      <c r="S320" s="83" t="s">
        <v>1464</v>
      </c>
      <c r="T320" s="83" t="s">
        <v>2843</v>
      </c>
      <c r="U320" s="83" t="s">
        <v>401</v>
      </c>
      <c r="AC320" s="83" t="s">
        <v>401</v>
      </c>
      <c r="AD320" s="83">
        <v>84000</v>
      </c>
      <c r="AF320" s="83">
        <v>12000</v>
      </c>
      <c r="AJ320" s="83">
        <v>1</v>
      </c>
      <c r="AK320" s="83">
        <v>1</v>
      </c>
      <c r="AL320" s="83">
        <v>1120</v>
      </c>
      <c r="AM320" s="83" t="s">
        <v>2693</v>
      </c>
      <c r="BK320" s="83" t="s">
        <v>2694</v>
      </c>
      <c r="BL320" s="83" t="s">
        <v>2693</v>
      </c>
      <c r="BM320" s="83" t="s">
        <v>2698</v>
      </c>
      <c r="BN320" s="83" t="s">
        <v>2696</v>
      </c>
      <c r="BO320" s="83" t="s">
        <v>2697</v>
      </c>
      <c r="BP320" s="83" t="s">
        <v>2698</v>
      </c>
      <c r="BQ320" s="83" t="s">
        <v>2699</v>
      </c>
      <c r="BR320" s="83" t="s">
        <v>2693</v>
      </c>
      <c r="BS320" s="83" t="s">
        <v>2699</v>
      </c>
      <c r="BT320" s="83" t="s">
        <v>2696</v>
      </c>
      <c r="BU320" s="83" t="s">
        <v>2699</v>
      </c>
      <c r="BV320" s="83" t="s">
        <v>2696</v>
      </c>
      <c r="BW320" s="83" t="s">
        <v>2697</v>
      </c>
      <c r="BX320" s="83" t="s">
        <v>2696</v>
      </c>
      <c r="BY320" s="83" t="s">
        <v>2693</v>
      </c>
      <c r="BZ320" s="83" t="s">
        <v>2693</v>
      </c>
      <c r="CA320" s="83" t="s">
        <v>2693</v>
      </c>
      <c r="CB320" s="83" t="s">
        <v>2694</v>
      </c>
      <c r="CC320" s="83" t="s">
        <v>2699</v>
      </c>
      <c r="CD320" s="83" t="s">
        <v>2696</v>
      </c>
      <c r="CF320" s="83" t="s">
        <v>3079</v>
      </c>
      <c r="CG320" s="83" t="s">
        <v>3080</v>
      </c>
      <c r="CH320" s="83" t="s">
        <v>2699</v>
      </c>
      <c r="CI320" s="83">
        <v>1</v>
      </c>
      <c r="CJ320" s="83" t="s">
        <v>2734</v>
      </c>
      <c r="CK320" s="144">
        <v>0</v>
      </c>
      <c r="CL320"/>
    </row>
    <row r="321" spans="1:90">
      <c r="A321" s="83" t="s">
        <v>1213</v>
      </c>
      <c r="B321" s="83" t="s">
        <v>1242</v>
      </c>
      <c r="D321" s="83" t="s">
        <v>688</v>
      </c>
      <c r="E321" s="83" t="s">
        <v>1264</v>
      </c>
      <c r="F321" s="83" t="s">
        <v>1300</v>
      </c>
      <c r="G321" s="83" t="s">
        <v>1301</v>
      </c>
      <c r="H321" s="83" t="s">
        <v>1201</v>
      </c>
      <c r="I321" s="83" t="s">
        <v>1202</v>
      </c>
      <c r="J321" s="83" t="s">
        <v>1203</v>
      </c>
      <c r="K321" s="83" t="s">
        <v>565</v>
      </c>
      <c r="L321" s="83" t="s">
        <v>398</v>
      </c>
      <c r="M321" s="83" t="s">
        <v>399</v>
      </c>
      <c r="N321" s="83" t="s">
        <v>2752</v>
      </c>
      <c r="O321" s="83" t="s">
        <v>106</v>
      </c>
      <c r="P321" s="83">
        <v>5</v>
      </c>
      <c r="Q321" s="83" t="s">
        <v>106</v>
      </c>
      <c r="R321" s="83" t="s">
        <v>2799</v>
      </c>
      <c r="S321" s="83" t="s">
        <v>1451</v>
      </c>
      <c r="T321" s="83" t="s">
        <v>2703</v>
      </c>
      <c r="U321" s="83" t="s">
        <v>401</v>
      </c>
      <c r="AC321" s="83" t="s">
        <v>401</v>
      </c>
      <c r="AD321" s="83">
        <v>53508000</v>
      </c>
      <c r="AF321" s="83">
        <v>5089000</v>
      </c>
      <c r="AJ321" s="83">
        <v>1</v>
      </c>
      <c r="AK321" s="83">
        <v>15</v>
      </c>
      <c r="AL321" s="83">
        <v>229244</v>
      </c>
      <c r="AM321" s="83" t="s">
        <v>2693</v>
      </c>
      <c r="BK321" s="83" t="s">
        <v>2694</v>
      </c>
      <c r="BL321" s="83" t="s">
        <v>2697</v>
      </c>
      <c r="BM321" s="83" t="s">
        <v>2699</v>
      </c>
      <c r="BN321" s="83" t="s">
        <v>2698</v>
      </c>
      <c r="BO321" s="83" t="s">
        <v>2697</v>
      </c>
      <c r="BP321" s="83" t="s">
        <v>2693</v>
      </c>
      <c r="BQ321" s="83" t="s">
        <v>2699</v>
      </c>
      <c r="BR321" s="83" t="s">
        <v>2699</v>
      </c>
      <c r="BS321" s="83" t="s">
        <v>2699</v>
      </c>
      <c r="BT321" s="83" t="s">
        <v>2696</v>
      </c>
      <c r="BU321" s="83" t="s">
        <v>2699</v>
      </c>
      <c r="BV321" s="83" t="s">
        <v>2696</v>
      </c>
      <c r="BW321" s="83" t="s">
        <v>2699</v>
      </c>
      <c r="BX321" s="83" t="s">
        <v>2696</v>
      </c>
      <c r="BY321" s="83" t="s">
        <v>2699</v>
      </c>
      <c r="BZ321" s="83" t="s">
        <v>2699</v>
      </c>
      <c r="CA321" s="83" t="s">
        <v>2696</v>
      </c>
      <c r="CB321" s="83">
        <v>3</v>
      </c>
      <c r="CC321" s="83" t="s">
        <v>2699</v>
      </c>
      <c r="CD321" s="83" t="s">
        <v>2696</v>
      </c>
      <c r="CF321" s="83" t="s">
        <v>1363</v>
      </c>
      <c r="CG321" s="83" t="s">
        <v>1364</v>
      </c>
      <c r="CH321" s="83" t="s">
        <v>2725</v>
      </c>
      <c r="CI321" s="83" t="s">
        <v>1358</v>
      </c>
      <c r="CJ321" s="83" t="s">
        <v>2726</v>
      </c>
      <c r="CK321" s="144">
        <v>0</v>
      </c>
      <c r="CL321" s="99">
        <v>63000</v>
      </c>
    </row>
    <row r="322" spans="1:90">
      <c r="A322" s="83" t="s">
        <v>1214</v>
      </c>
      <c r="B322" s="83" t="s">
        <v>683</v>
      </c>
      <c r="D322" s="83" t="s">
        <v>688</v>
      </c>
      <c r="E322" s="83" t="s">
        <v>683</v>
      </c>
      <c r="F322" s="83" t="s">
        <v>1302</v>
      </c>
      <c r="G322" s="83" t="s">
        <v>1301</v>
      </c>
      <c r="H322" s="83" t="s">
        <v>1201</v>
      </c>
      <c r="I322" s="83" t="s">
        <v>1202</v>
      </c>
      <c r="J322" s="83" t="s">
        <v>1203</v>
      </c>
      <c r="K322" s="83" t="s">
        <v>565</v>
      </c>
      <c r="L322" s="83" t="s">
        <v>398</v>
      </c>
      <c r="M322" s="83" t="s">
        <v>399</v>
      </c>
      <c r="N322" s="83" t="s">
        <v>2752</v>
      </c>
      <c r="O322" s="83" t="s">
        <v>106</v>
      </c>
      <c r="P322" s="83">
        <v>5</v>
      </c>
      <c r="Q322" s="83" t="s">
        <v>106</v>
      </c>
      <c r="R322" s="83" t="s">
        <v>2799</v>
      </c>
      <c r="S322" s="83" t="s">
        <v>1452</v>
      </c>
      <c r="T322" s="83" t="s">
        <v>2703</v>
      </c>
      <c r="U322" s="83" t="s">
        <v>401</v>
      </c>
      <c r="AC322" s="83" t="s">
        <v>401</v>
      </c>
      <c r="AD322" s="83">
        <v>93931000</v>
      </c>
      <c r="AF322" s="83">
        <v>4043000</v>
      </c>
      <c r="AJ322" s="83">
        <v>1</v>
      </c>
      <c r="AK322" s="83">
        <v>7</v>
      </c>
      <c r="AL322" s="83">
        <v>364219</v>
      </c>
      <c r="AM322" s="83" t="s">
        <v>2693</v>
      </c>
      <c r="BK322" s="83" t="s">
        <v>2694</v>
      </c>
      <c r="BL322" s="83" t="s">
        <v>2697</v>
      </c>
      <c r="BM322" s="83" t="s">
        <v>2699</v>
      </c>
      <c r="BN322" s="83" t="s">
        <v>2698</v>
      </c>
      <c r="BO322" s="83" t="s">
        <v>2697</v>
      </c>
      <c r="BP322" s="83" t="s">
        <v>2693</v>
      </c>
      <c r="BQ322" s="83" t="s">
        <v>2696</v>
      </c>
      <c r="BR322" s="83" t="s">
        <v>2699</v>
      </c>
      <c r="BS322" s="83" t="s">
        <v>2699</v>
      </c>
      <c r="BT322" s="83" t="s">
        <v>2696</v>
      </c>
      <c r="BU322" s="83" t="s">
        <v>2699</v>
      </c>
      <c r="BV322" s="83" t="s">
        <v>2696</v>
      </c>
      <c r="BW322" s="83" t="s">
        <v>2699</v>
      </c>
      <c r="BX322" s="83" t="s">
        <v>2696</v>
      </c>
      <c r="BY322" s="83" t="s">
        <v>2699</v>
      </c>
      <c r="BZ322" s="83" t="s">
        <v>2699</v>
      </c>
      <c r="CA322" s="83" t="s">
        <v>2696</v>
      </c>
      <c r="CB322" s="83">
        <v>3</v>
      </c>
      <c r="CC322" s="83" t="s">
        <v>2696</v>
      </c>
      <c r="CD322" s="83" t="s">
        <v>2696</v>
      </c>
      <c r="CF322" s="83" t="s">
        <v>1365</v>
      </c>
      <c r="CG322" s="83" t="s">
        <v>1366</v>
      </c>
      <c r="CH322" s="83" t="s">
        <v>2725</v>
      </c>
      <c r="CI322" s="83" t="s">
        <v>1358</v>
      </c>
      <c r="CJ322" s="83" t="s">
        <v>2726</v>
      </c>
      <c r="CK322" s="144">
        <v>0</v>
      </c>
      <c r="CL322"/>
    </row>
    <row r="323" spans="1:90">
      <c r="A323" s="79" t="s">
        <v>3759</v>
      </c>
      <c r="B323" s="79" t="s">
        <v>3803</v>
      </c>
      <c r="C323" s="79"/>
      <c r="D323" s="79" t="s">
        <v>688</v>
      </c>
      <c r="E323" s="79" t="s">
        <v>3803</v>
      </c>
      <c r="F323" s="79">
        <v>535</v>
      </c>
      <c r="G323" s="79" t="s">
        <v>1894</v>
      </c>
      <c r="H323" s="79" t="s">
        <v>1201</v>
      </c>
      <c r="I323" s="79" t="s">
        <v>1202</v>
      </c>
      <c r="J323" s="79" t="s">
        <v>1203</v>
      </c>
      <c r="K323" s="79" t="s">
        <v>565</v>
      </c>
      <c r="L323" s="79" t="s">
        <v>398</v>
      </c>
      <c r="M323" s="79" t="s">
        <v>399</v>
      </c>
      <c r="N323" s="79" t="s">
        <v>2752</v>
      </c>
      <c r="O323" s="79" t="s">
        <v>106</v>
      </c>
      <c r="P323" s="79"/>
      <c r="Q323" s="79" t="s">
        <v>106</v>
      </c>
      <c r="R323" s="79">
        <v>24</v>
      </c>
      <c r="S323" s="90">
        <v>27394</v>
      </c>
      <c r="T323" s="79" t="s">
        <v>2703</v>
      </c>
      <c r="U323" s="79" t="s">
        <v>401</v>
      </c>
      <c r="AC323" s="79" t="s">
        <v>401</v>
      </c>
      <c r="AD323" s="79">
        <v>0</v>
      </c>
      <c r="AE323" s="79"/>
      <c r="AF323" s="79">
        <v>20000</v>
      </c>
      <c r="AG323" s="79"/>
      <c r="AH323" s="79"/>
      <c r="AI323" s="79"/>
      <c r="AJ323" s="79">
        <v>1</v>
      </c>
      <c r="AK323" s="79">
        <v>1</v>
      </c>
      <c r="AL323" s="79">
        <v>0</v>
      </c>
      <c r="AM323" s="79" t="s">
        <v>2693</v>
      </c>
      <c r="AN323" s="79"/>
      <c r="AO323" s="79"/>
      <c r="AP323" s="79"/>
      <c r="AQ323" s="79"/>
      <c r="AR323" s="79"/>
      <c r="AS323" s="79"/>
      <c r="AT323" s="79"/>
      <c r="AU323" s="79"/>
      <c r="AV323" s="79"/>
      <c r="AW323" s="79"/>
      <c r="AX323" s="79"/>
      <c r="AY323" s="79"/>
      <c r="AZ323" s="79"/>
      <c r="BA323" s="79"/>
      <c r="BB323" s="79"/>
      <c r="BC323" s="79"/>
      <c r="BD323" s="79"/>
      <c r="BE323" s="79"/>
      <c r="BF323" s="79"/>
      <c r="BG323" s="79"/>
      <c r="BH323" s="79"/>
      <c r="BI323" s="79"/>
      <c r="BJ323" s="79"/>
      <c r="BK323" s="79">
        <v>0</v>
      </c>
      <c r="BL323" s="79">
        <v>0</v>
      </c>
      <c r="BM323" s="79">
        <v>0</v>
      </c>
      <c r="BN323" s="79">
        <v>0</v>
      </c>
      <c r="BO323" s="79">
        <v>0</v>
      </c>
      <c r="BP323" s="79">
        <v>0</v>
      </c>
      <c r="BQ323" s="79">
        <v>0</v>
      </c>
      <c r="BR323" s="79">
        <v>0</v>
      </c>
      <c r="BS323" s="79">
        <v>0</v>
      </c>
      <c r="BT323" s="79">
        <v>0</v>
      </c>
      <c r="BU323" s="79">
        <v>0</v>
      </c>
      <c r="BV323" s="79">
        <v>0</v>
      </c>
      <c r="BW323" s="79">
        <v>0</v>
      </c>
      <c r="BX323" s="79">
        <v>0</v>
      </c>
      <c r="BY323" s="79">
        <v>0</v>
      </c>
      <c r="BZ323" s="79">
        <v>0</v>
      </c>
      <c r="CA323" s="79">
        <v>0</v>
      </c>
      <c r="CB323" s="79">
        <v>0</v>
      </c>
      <c r="CC323" s="79">
        <v>0</v>
      </c>
      <c r="CD323" s="79">
        <v>0</v>
      </c>
      <c r="CE323" s="79"/>
      <c r="CF323" s="79" t="s">
        <v>2217</v>
      </c>
      <c r="CG323" s="79" t="s">
        <v>3915</v>
      </c>
      <c r="CH323" s="79"/>
      <c r="CI323" s="79"/>
      <c r="CJ323" s="79"/>
      <c r="CK323" s="145"/>
      <c r="CL323"/>
    </row>
    <row r="324" spans="1:90">
      <c r="A324" s="83" t="s">
        <v>2884</v>
      </c>
      <c r="B324" s="83" t="s">
        <v>2885</v>
      </c>
      <c r="D324" s="83" t="s">
        <v>688</v>
      </c>
      <c r="E324" s="83" t="s">
        <v>2492</v>
      </c>
      <c r="F324" s="83" t="s">
        <v>1800</v>
      </c>
      <c r="G324" s="83" t="s">
        <v>2269</v>
      </c>
      <c r="H324" s="83" t="s">
        <v>1201</v>
      </c>
      <c r="I324" s="83" t="s">
        <v>1202</v>
      </c>
      <c r="J324" s="83" t="s">
        <v>1203</v>
      </c>
      <c r="K324" s="83" t="s">
        <v>565</v>
      </c>
      <c r="L324" s="83" t="s">
        <v>398</v>
      </c>
      <c r="M324" s="83" t="s">
        <v>399</v>
      </c>
      <c r="N324" s="83" t="s">
        <v>2690</v>
      </c>
      <c r="O324" s="83" t="s">
        <v>106</v>
      </c>
      <c r="P324" s="83">
        <v>4</v>
      </c>
      <c r="Q324" s="83" t="s">
        <v>106</v>
      </c>
      <c r="R324" s="83" t="s">
        <v>2727</v>
      </c>
      <c r="S324" s="83" t="s">
        <v>2886</v>
      </c>
      <c r="T324" s="83" t="s">
        <v>2843</v>
      </c>
      <c r="U324" s="83" t="s">
        <v>401</v>
      </c>
      <c r="AC324" s="83" t="s">
        <v>401</v>
      </c>
      <c r="AD324" s="83">
        <v>247000</v>
      </c>
      <c r="AF324" s="83">
        <v>66000</v>
      </c>
      <c r="AJ324" s="83">
        <v>1</v>
      </c>
      <c r="AK324" s="83">
        <v>1</v>
      </c>
      <c r="AL324" s="83">
        <v>5092</v>
      </c>
      <c r="AM324" s="83" t="s">
        <v>2693</v>
      </c>
      <c r="BK324" s="83" t="s">
        <v>2694</v>
      </c>
      <c r="BL324" s="83" t="s">
        <v>2704</v>
      </c>
      <c r="BM324" s="83" t="s">
        <v>2698</v>
      </c>
      <c r="BN324" s="83" t="s">
        <v>2698</v>
      </c>
      <c r="BO324" s="83" t="s">
        <v>2697</v>
      </c>
      <c r="BP324" s="83" t="s">
        <v>2698</v>
      </c>
      <c r="BQ324" s="83" t="s">
        <v>2699</v>
      </c>
      <c r="BR324" s="83" t="s">
        <v>2693</v>
      </c>
      <c r="BS324" s="83" t="s">
        <v>2699</v>
      </c>
      <c r="BT324" s="83" t="s">
        <v>2696</v>
      </c>
      <c r="BU324" s="83" t="s">
        <v>2699</v>
      </c>
      <c r="BV324" s="83" t="s">
        <v>2696</v>
      </c>
      <c r="BW324" s="83" t="s">
        <v>2698</v>
      </c>
      <c r="BX324" s="83" t="s">
        <v>2696</v>
      </c>
      <c r="BY324" s="83" t="s">
        <v>2699</v>
      </c>
      <c r="BZ324" s="83" t="s">
        <v>2693</v>
      </c>
      <c r="CA324" s="83" t="s">
        <v>2693</v>
      </c>
      <c r="CB324" s="83" t="s">
        <v>2694</v>
      </c>
      <c r="CC324" s="83" t="s">
        <v>2699</v>
      </c>
      <c r="CD324" s="83" t="s">
        <v>2696</v>
      </c>
      <c r="CF324" s="83" t="s">
        <v>2887</v>
      </c>
      <c r="CG324" s="83" t="s">
        <v>2888</v>
      </c>
      <c r="CH324" s="83" t="s">
        <v>2693</v>
      </c>
      <c r="CI324" s="83" t="s">
        <v>3992</v>
      </c>
      <c r="CJ324" s="83" t="s">
        <v>2701</v>
      </c>
      <c r="CK324" s="144">
        <v>0</v>
      </c>
      <c r="CL324" s="99">
        <v>43000</v>
      </c>
    </row>
    <row r="325" spans="1:90">
      <c r="A325" s="83" t="s">
        <v>2884</v>
      </c>
      <c r="B325" s="83" t="s">
        <v>2885</v>
      </c>
      <c r="D325" s="83" t="s">
        <v>673</v>
      </c>
      <c r="E325" s="83" t="s">
        <v>2493</v>
      </c>
      <c r="F325" s="83" t="s">
        <v>1800</v>
      </c>
      <c r="G325" s="83" t="s">
        <v>2269</v>
      </c>
      <c r="H325" s="83" t="s">
        <v>1201</v>
      </c>
      <c r="I325" s="83" t="s">
        <v>1202</v>
      </c>
      <c r="J325" s="83" t="s">
        <v>1203</v>
      </c>
      <c r="K325" s="83" t="s">
        <v>565</v>
      </c>
      <c r="L325" s="83" t="s">
        <v>398</v>
      </c>
      <c r="M325" s="83" t="s">
        <v>399</v>
      </c>
      <c r="N325" s="83" t="s">
        <v>2690</v>
      </c>
      <c r="O325" s="83" t="s">
        <v>106</v>
      </c>
      <c r="P325" s="83">
        <v>4</v>
      </c>
      <c r="Q325" s="83" t="s">
        <v>106</v>
      </c>
      <c r="R325" s="83" t="s">
        <v>2727</v>
      </c>
      <c r="S325" s="83" t="s">
        <v>2886</v>
      </c>
      <c r="T325" s="83" t="s">
        <v>2843</v>
      </c>
      <c r="U325" s="83" t="s">
        <v>401</v>
      </c>
      <c r="AC325" s="83" t="s">
        <v>401</v>
      </c>
      <c r="AD325" s="83">
        <v>171000</v>
      </c>
      <c r="AF325" s="83">
        <v>98000</v>
      </c>
      <c r="AJ325" s="83">
        <v>1</v>
      </c>
      <c r="AK325" s="83">
        <v>1</v>
      </c>
      <c r="AL325" s="83">
        <v>7592</v>
      </c>
      <c r="AM325" s="83" t="s">
        <v>2693</v>
      </c>
      <c r="BK325" s="83" t="s">
        <v>2694</v>
      </c>
      <c r="BL325" s="83" t="s">
        <v>2704</v>
      </c>
      <c r="BM325" s="83" t="s">
        <v>2698</v>
      </c>
      <c r="BN325" s="83" t="s">
        <v>2698</v>
      </c>
      <c r="BO325" s="83" t="s">
        <v>2697</v>
      </c>
      <c r="BP325" s="83" t="s">
        <v>2698</v>
      </c>
      <c r="BQ325" s="83" t="s">
        <v>2699</v>
      </c>
      <c r="BR325" s="83" t="s">
        <v>2693</v>
      </c>
      <c r="BS325" s="83" t="s">
        <v>2699</v>
      </c>
      <c r="BT325" s="83" t="s">
        <v>2696</v>
      </c>
      <c r="BU325" s="83" t="s">
        <v>2699</v>
      </c>
      <c r="BV325" s="83" t="s">
        <v>2696</v>
      </c>
      <c r="BW325" s="83" t="s">
        <v>2698</v>
      </c>
      <c r="BX325" s="83" t="s">
        <v>2696</v>
      </c>
      <c r="BY325" s="83" t="s">
        <v>2699</v>
      </c>
      <c r="BZ325" s="83" t="s">
        <v>2693</v>
      </c>
      <c r="CA325" s="83" t="s">
        <v>2693</v>
      </c>
      <c r="CB325" s="83" t="s">
        <v>2694</v>
      </c>
      <c r="CC325" s="83" t="s">
        <v>2699</v>
      </c>
      <c r="CD325" s="83" t="s">
        <v>2696</v>
      </c>
      <c r="CF325" s="83" t="s">
        <v>2889</v>
      </c>
      <c r="CG325" s="83" t="s">
        <v>2890</v>
      </c>
      <c r="CH325" s="83" t="s">
        <v>2693</v>
      </c>
      <c r="CI325" s="83" t="s">
        <v>3992</v>
      </c>
      <c r="CJ325" s="83" t="s">
        <v>2701</v>
      </c>
      <c r="CK325" s="144">
        <v>0</v>
      </c>
      <c r="CL325"/>
    </row>
    <row r="326" spans="1:90">
      <c r="A326" s="83" t="s">
        <v>2884</v>
      </c>
      <c r="B326" s="83" t="s">
        <v>2885</v>
      </c>
      <c r="D326" s="83" t="s">
        <v>714</v>
      </c>
      <c r="E326" s="83" t="s">
        <v>2494</v>
      </c>
      <c r="F326" s="83" t="s">
        <v>1800</v>
      </c>
      <c r="G326" s="83" t="s">
        <v>2269</v>
      </c>
      <c r="H326" s="83" t="s">
        <v>1201</v>
      </c>
      <c r="I326" s="83" t="s">
        <v>1202</v>
      </c>
      <c r="J326" s="83" t="s">
        <v>1203</v>
      </c>
      <c r="K326" s="83" t="s">
        <v>565</v>
      </c>
      <c r="L326" s="83" t="s">
        <v>398</v>
      </c>
      <c r="M326" s="83" t="s">
        <v>399</v>
      </c>
      <c r="N326" s="83" t="s">
        <v>2690</v>
      </c>
      <c r="O326" s="83" t="s">
        <v>106</v>
      </c>
      <c r="P326" s="83">
        <v>4</v>
      </c>
      <c r="Q326" s="83" t="s">
        <v>106</v>
      </c>
      <c r="R326" s="83" t="s">
        <v>2727</v>
      </c>
      <c r="S326" s="83" t="s">
        <v>2886</v>
      </c>
      <c r="T326" s="83" t="s">
        <v>2843</v>
      </c>
      <c r="U326" s="83" t="s">
        <v>401</v>
      </c>
      <c r="AC326" s="83" t="s">
        <v>401</v>
      </c>
      <c r="AD326" s="83">
        <v>84000</v>
      </c>
      <c r="AF326" s="83">
        <v>40000</v>
      </c>
      <c r="AJ326" s="83">
        <v>1</v>
      </c>
      <c r="AK326" s="83">
        <v>1</v>
      </c>
      <c r="AL326" s="83">
        <v>3060</v>
      </c>
      <c r="AM326" s="83" t="s">
        <v>2693</v>
      </c>
      <c r="BK326" s="83" t="s">
        <v>2694</v>
      </c>
      <c r="BL326" s="83" t="s">
        <v>2704</v>
      </c>
      <c r="BM326" s="83" t="s">
        <v>2698</v>
      </c>
      <c r="BN326" s="83" t="s">
        <v>2698</v>
      </c>
      <c r="BO326" s="83" t="s">
        <v>2697</v>
      </c>
      <c r="BP326" s="83" t="s">
        <v>2698</v>
      </c>
      <c r="BQ326" s="83" t="s">
        <v>2699</v>
      </c>
      <c r="BR326" s="83" t="s">
        <v>2693</v>
      </c>
      <c r="BS326" s="83" t="s">
        <v>2699</v>
      </c>
      <c r="BT326" s="83" t="s">
        <v>2696</v>
      </c>
      <c r="BU326" s="83" t="s">
        <v>2699</v>
      </c>
      <c r="BV326" s="83" t="s">
        <v>2696</v>
      </c>
      <c r="BW326" s="83" t="s">
        <v>2698</v>
      </c>
      <c r="BX326" s="83" t="s">
        <v>2696</v>
      </c>
      <c r="BY326" s="83" t="s">
        <v>2699</v>
      </c>
      <c r="BZ326" s="83" t="s">
        <v>2693</v>
      </c>
      <c r="CA326" s="83" t="s">
        <v>2693</v>
      </c>
      <c r="CB326" s="83" t="s">
        <v>2694</v>
      </c>
      <c r="CC326" s="83" t="s">
        <v>2699</v>
      </c>
      <c r="CD326" s="83" t="s">
        <v>2696</v>
      </c>
      <c r="CF326" s="83" t="s">
        <v>599</v>
      </c>
      <c r="CG326" s="83" t="s">
        <v>2891</v>
      </c>
      <c r="CH326" s="83" t="s">
        <v>2693</v>
      </c>
      <c r="CI326" s="83" t="s">
        <v>3992</v>
      </c>
      <c r="CJ326" s="83" t="s">
        <v>2701</v>
      </c>
      <c r="CK326" s="144">
        <v>0</v>
      </c>
      <c r="CL326"/>
    </row>
    <row r="327" spans="1:90">
      <c r="A327" s="83" t="s">
        <v>2966</v>
      </c>
      <c r="B327" s="83" t="s">
        <v>2525</v>
      </c>
      <c r="D327" s="83" t="s">
        <v>688</v>
      </c>
      <c r="E327" s="83" t="s">
        <v>2526</v>
      </c>
      <c r="F327" s="83" t="s">
        <v>2967</v>
      </c>
      <c r="G327" s="83" t="s">
        <v>2280</v>
      </c>
      <c r="H327" s="83" t="s">
        <v>1201</v>
      </c>
      <c r="I327" s="83" t="s">
        <v>1202</v>
      </c>
      <c r="J327" s="83" t="s">
        <v>1203</v>
      </c>
      <c r="K327" s="83" t="s">
        <v>565</v>
      </c>
      <c r="L327" s="83" t="s">
        <v>398</v>
      </c>
      <c r="M327" s="83" t="s">
        <v>399</v>
      </c>
      <c r="N327" s="83" t="s">
        <v>2899</v>
      </c>
      <c r="O327" s="83" t="s">
        <v>106</v>
      </c>
      <c r="P327" s="83">
        <v>4</v>
      </c>
      <c r="Q327" s="83" t="s">
        <v>106</v>
      </c>
      <c r="R327" s="83" t="s">
        <v>2727</v>
      </c>
      <c r="S327" s="83" t="s">
        <v>2822</v>
      </c>
      <c r="T327" s="83" t="s">
        <v>2843</v>
      </c>
      <c r="U327" s="83" t="s">
        <v>401</v>
      </c>
      <c r="AC327" s="83" t="s">
        <v>401</v>
      </c>
      <c r="AD327" s="83">
        <v>211000</v>
      </c>
      <c r="AF327" s="83">
        <v>0</v>
      </c>
      <c r="AJ327" s="83">
        <v>1</v>
      </c>
      <c r="AK327" s="83">
        <v>1</v>
      </c>
      <c r="AL327" s="83">
        <v>5720</v>
      </c>
      <c r="AM327" s="83" t="s">
        <v>2693</v>
      </c>
      <c r="BK327" s="83" t="s">
        <v>2694</v>
      </c>
      <c r="BL327" s="83" t="s">
        <v>2704</v>
      </c>
      <c r="BM327" s="83" t="s">
        <v>2698</v>
      </c>
      <c r="BN327" s="83" t="s">
        <v>2698</v>
      </c>
      <c r="BO327" s="83" t="s">
        <v>2697</v>
      </c>
      <c r="BP327" s="83" t="s">
        <v>2698</v>
      </c>
      <c r="BQ327" s="83" t="s">
        <v>2699</v>
      </c>
      <c r="BR327" s="83" t="s">
        <v>2693</v>
      </c>
      <c r="BS327" s="83" t="s">
        <v>2699</v>
      </c>
      <c r="BT327" s="83" t="s">
        <v>2696</v>
      </c>
      <c r="BU327" s="83" t="s">
        <v>2699</v>
      </c>
      <c r="BV327" s="83" t="s">
        <v>2696</v>
      </c>
      <c r="BW327" s="83" t="s">
        <v>2698</v>
      </c>
      <c r="BX327" s="83" t="s">
        <v>2696</v>
      </c>
      <c r="BY327" s="83" t="s">
        <v>2699</v>
      </c>
      <c r="BZ327" s="83" t="s">
        <v>2693</v>
      </c>
      <c r="CA327" s="83" t="s">
        <v>2693</v>
      </c>
      <c r="CB327" s="83" t="s">
        <v>2694</v>
      </c>
      <c r="CC327" s="83" t="s">
        <v>2699</v>
      </c>
      <c r="CD327" s="83" t="s">
        <v>2696</v>
      </c>
      <c r="CF327" s="83" t="s">
        <v>2968</v>
      </c>
      <c r="CG327" s="83" t="s">
        <v>2969</v>
      </c>
      <c r="CH327" s="83" t="s">
        <v>2693</v>
      </c>
      <c r="CI327" s="83" t="s">
        <v>3992</v>
      </c>
      <c r="CJ327" s="83" t="s">
        <v>2701</v>
      </c>
      <c r="CL327"/>
    </row>
    <row r="328" spans="1:90">
      <c r="A328" s="83" t="s">
        <v>2977</v>
      </c>
      <c r="B328" s="83" t="s">
        <v>2530</v>
      </c>
      <c r="D328" s="83" t="s">
        <v>688</v>
      </c>
      <c r="E328" s="83" t="s">
        <v>2531</v>
      </c>
      <c r="F328" s="83" t="s">
        <v>2978</v>
      </c>
      <c r="G328" s="83" t="s">
        <v>2282</v>
      </c>
      <c r="H328" s="83" t="s">
        <v>1201</v>
      </c>
      <c r="I328" s="83" t="s">
        <v>1202</v>
      </c>
      <c r="J328" s="83" t="s">
        <v>1203</v>
      </c>
      <c r="K328" s="83" t="s">
        <v>565</v>
      </c>
      <c r="L328" s="83" t="s">
        <v>398</v>
      </c>
      <c r="M328" s="83" t="s">
        <v>399</v>
      </c>
      <c r="N328" s="83" t="s">
        <v>2899</v>
      </c>
      <c r="O328" s="83" t="s">
        <v>106</v>
      </c>
      <c r="P328" s="83">
        <v>4</v>
      </c>
      <c r="Q328" s="83" t="s">
        <v>106</v>
      </c>
      <c r="R328" s="83" t="s">
        <v>2727</v>
      </c>
      <c r="S328" s="83" t="s">
        <v>1454</v>
      </c>
      <c r="T328" s="83" t="s">
        <v>2843</v>
      </c>
      <c r="U328" s="83" t="s">
        <v>401</v>
      </c>
      <c r="AC328" s="83" t="s">
        <v>401</v>
      </c>
      <c r="AD328" s="83">
        <v>254000</v>
      </c>
      <c r="AF328" s="83">
        <v>101000</v>
      </c>
      <c r="AJ328" s="83">
        <v>1</v>
      </c>
      <c r="AK328" s="83">
        <v>1</v>
      </c>
      <c r="AL328" s="83">
        <v>3900</v>
      </c>
      <c r="AM328" s="83" t="s">
        <v>2693</v>
      </c>
      <c r="BK328" s="83" t="s">
        <v>2694</v>
      </c>
      <c r="BL328" s="83" t="s">
        <v>2704</v>
      </c>
      <c r="BM328" s="83" t="s">
        <v>2698</v>
      </c>
      <c r="BN328" s="83" t="s">
        <v>2698</v>
      </c>
      <c r="BO328" s="83" t="s">
        <v>2697</v>
      </c>
      <c r="BP328" s="83" t="s">
        <v>2698</v>
      </c>
      <c r="BQ328" s="83" t="s">
        <v>2699</v>
      </c>
      <c r="BR328" s="83" t="s">
        <v>2693</v>
      </c>
      <c r="BS328" s="83" t="s">
        <v>2699</v>
      </c>
      <c r="BT328" s="83" t="s">
        <v>2696</v>
      </c>
      <c r="BU328" s="83" t="s">
        <v>2699</v>
      </c>
      <c r="BV328" s="83" t="s">
        <v>2696</v>
      </c>
      <c r="BW328" s="83" t="s">
        <v>2698</v>
      </c>
      <c r="BX328" s="83" t="s">
        <v>2696</v>
      </c>
      <c r="BY328" s="83" t="s">
        <v>2699</v>
      </c>
      <c r="BZ328" s="83" t="s">
        <v>2693</v>
      </c>
      <c r="CA328" s="83" t="s">
        <v>2693</v>
      </c>
      <c r="CB328" s="83" t="s">
        <v>2694</v>
      </c>
      <c r="CC328" s="83" t="s">
        <v>2699</v>
      </c>
      <c r="CD328" s="83" t="s">
        <v>2696</v>
      </c>
      <c r="CF328" s="83" t="s">
        <v>2979</v>
      </c>
      <c r="CG328" s="83" t="s">
        <v>2980</v>
      </c>
      <c r="CH328" s="83" t="s">
        <v>2693</v>
      </c>
      <c r="CI328" s="83" t="s">
        <v>3992</v>
      </c>
      <c r="CJ328" s="83" t="s">
        <v>2701</v>
      </c>
      <c r="CK328" s="144">
        <v>0</v>
      </c>
      <c r="CL328" s="99">
        <v>42000</v>
      </c>
    </row>
    <row r="329" spans="1:90">
      <c r="A329" s="83" t="s">
        <v>1566</v>
      </c>
      <c r="B329" s="83" t="s">
        <v>1647</v>
      </c>
      <c r="D329" s="83" t="s">
        <v>688</v>
      </c>
      <c r="E329" s="83" t="s">
        <v>1647</v>
      </c>
      <c r="F329" s="83" t="s">
        <v>1764</v>
      </c>
      <c r="G329" s="83" t="s">
        <v>1874</v>
      </c>
      <c r="H329" s="83" t="s">
        <v>1201</v>
      </c>
      <c r="I329" s="83" t="s">
        <v>1202</v>
      </c>
      <c r="J329" s="83" t="s">
        <v>1203</v>
      </c>
      <c r="K329" s="83" t="s">
        <v>565</v>
      </c>
      <c r="L329" s="83" t="s">
        <v>398</v>
      </c>
      <c r="M329" s="83" t="s">
        <v>399</v>
      </c>
      <c r="N329" s="83" t="s">
        <v>2752</v>
      </c>
      <c r="O329" s="83" t="s">
        <v>106</v>
      </c>
      <c r="P329" s="83">
        <v>7</v>
      </c>
      <c r="Q329" s="83" t="s">
        <v>106</v>
      </c>
      <c r="R329" s="83" t="s">
        <v>2691</v>
      </c>
      <c r="S329" s="83" t="s">
        <v>2809</v>
      </c>
      <c r="T329" s="83" t="s">
        <v>2712</v>
      </c>
      <c r="U329" s="83" t="s">
        <v>401</v>
      </c>
      <c r="AC329" s="83" t="s">
        <v>401</v>
      </c>
      <c r="AD329" s="83">
        <v>15241000</v>
      </c>
      <c r="AF329" s="83">
        <v>0</v>
      </c>
      <c r="AJ329" s="83">
        <v>1</v>
      </c>
      <c r="AK329" s="83">
        <v>7</v>
      </c>
      <c r="AL329" s="83">
        <v>58098</v>
      </c>
      <c r="AM329" s="83" t="s">
        <v>2693</v>
      </c>
      <c r="BK329" s="83" t="s">
        <v>2694</v>
      </c>
      <c r="BL329" s="83" t="s">
        <v>2697</v>
      </c>
      <c r="BM329" s="83" t="s">
        <v>2699</v>
      </c>
      <c r="BN329" s="83" t="s">
        <v>2698</v>
      </c>
      <c r="BO329" s="83" t="s">
        <v>2693</v>
      </c>
      <c r="BP329" s="83" t="s">
        <v>2697</v>
      </c>
      <c r="BQ329" s="83" t="s">
        <v>2699</v>
      </c>
      <c r="BR329" s="83" t="s">
        <v>2699</v>
      </c>
      <c r="BS329" s="83" t="s">
        <v>2699</v>
      </c>
      <c r="BT329" s="83">
        <v>0</v>
      </c>
      <c r="BU329" s="83" t="s">
        <v>2699</v>
      </c>
      <c r="BV329" s="83" t="s">
        <v>2693</v>
      </c>
      <c r="BW329" s="83" t="s">
        <v>2698</v>
      </c>
      <c r="BX329" s="83" t="s">
        <v>2697</v>
      </c>
      <c r="BY329" s="83" t="s">
        <v>2699</v>
      </c>
      <c r="BZ329" s="83" t="s">
        <v>2699</v>
      </c>
      <c r="CA329" s="83" t="s">
        <v>2693</v>
      </c>
      <c r="CB329" s="83">
        <v>3</v>
      </c>
      <c r="CC329" s="83" t="s">
        <v>2699</v>
      </c>
      <c r="CD329" s="83" t="s">
        <v>2699</v>
      </c>
      <c r="CF329" s="83" t="s">
        <v>2199</v>
      </c>
      <c r="CG329" s="83" t="s">
        <v>2200</v>
      </c>
      <c r="CH329" s="83" t="s">
        <v>2698</v>
      </c>
      <c r="CI329" s="83" t="s">
        <v>2201</v>
      </c>
      <c r="CJ329" s="83" t="s">
        <v>2726</v>
      </c>
      <c r="CK329" s="144">
        <v>0</v>
      </c>
      <c r="CL329"/>
    </row>
    <row r="330" spans="1:90">
      <c r="A330" s="83" t="s">
        <v>1567</v>
      </c>
      <c r="B330" s="83" t="s">
        <v>744</v>
      </c>
      <c r="D330" s="83" t="s">
        <v>688</v>
      </c>
      <c r="E330" s="83" t="s">
        <v>1667</v>
      </c>
      <c r="F330" s="83" t="s">
        <v>1765</v>
      </c>
      <c r="G330" s="83" t="s">
        <v>1875</v>
      </c>
      <c r="H330" s="83" t="s">
        <v>1201</v>
      </c>
      <c r="I330" s="83" t="s">
        <v>1202</v>
      </c>
      <c r="J330" s="83" t="s">
        <v>1203</v>
      </c>
      <c r="K330" s="83" t="s">
        <v>565</v>
      </c>
      <c r="L330" s="83" t="s">
        <v>398</v>
      </c>
      <c r="M330" s="83" t="s">
        <v>399</v>
      </c>
      <c r="N330" s="83" t="s">
        <v>2709</v>
      </c>
      <c r="O330" s="83" t="s">
        <v>106</v>
      </c>
      <c r="P330" s="83">
        <v>8</v>
      </c>
      <c r="Q330" s="83" t="s">
        <v>106</v>
      </c>
      <c r="R330" s="83" t="s">
        <v>2767</v>
      </c>
      <c r="S330" s="83" t="s">
        <v>2810</v>
      </c>
      <c r="T330" s="83" t="s">
        <v>2703</v>
      </c>
      <c r="U330" s="83" t="s">
        <v>401</v>
      </c>
      <c r="AC330" s="83" t="s">
        <v>401</v>
      </c>
      <c r="AD330" s="83">
        <v>498000</v>
      </c>
      <c r="AF330" s="83">
        <v>0</v>
      </c>
      <c r="AJ330" s="83">
        <v>2</v>
      </c>
      <c r="AK330" s="83">
        <v>1</v>
      </c>
      <c r="AL330" s="83">
        <v>4171</v>
      </c>
      <c r="AM330" s="83" t="s">
        <v>2696</v>
      </c>
      <c r="BK330" s="83" t="s">
        <v>2694</v>
      </c>
      <c r="BL330" s="83" t="s">
        <v>2697</v>
      </c>
      <c r="BM330" s="83" t="s">
        <v>2699</v>
      </c>
      <c r="BN330" s="83" t="s">
        <v>2698</v>
      </c>
      <c r="BO330" s="83" t="s">
        <v>2697</v>
      </c>
      <c r="BP330" s="83" t="s">
        <v>2696</v>
      </c>
      <c r="BQ330" s="83" t="s">
        <v>2696</v>
      </c>
      <c r="BR330" s="83" t="s">
        <v>2699</v>
      </c>
      <c r="BS330" s="83" t="s">
        <v>2699</v>
      </c>
      <c r="BT330" s="83">
        <v>0</v>
      </c>
      <c r="BU330" s="83" t="s">
        <v>2699</v>
      </c>
      <c r="BV330" s="83" t="s">
        <v>2696</v>
      </c>
      <c r="BW330" s="83" t="s">
        <v>2698</v>
      </c>
      <c r="BX330" s="83" t="s">
        <v>2696</v>
      </c>
      <c r="BY330" s="83" t="s">
        <v>2699</v>
      </c>
      <c r="BZ330" s="83" t="s">
        <v>2693</v>
      </c>
      <c r="CA330" s="83" t="s">
        <v>2693</v>
      </c>
      <c r="CB330" s="83">
        <v>9</v>
      </c>
      <c r="CC330" s="83" t="s">
        <v>2699</v>
      </c>
      <c r="CD330" s="83" t="s">
        <v>2696</v>
      </c>
      <c r="CF330" s="83" t="s">
        <v>2010</v>
      </c>
      <c r="CG330" s="83" t="s">
        <v>2011</v>
      </c>
      <c r="CH330" s="83" t="s">
        <v>2695</v>
      </c>
      <c r="CI330" s="83" t="s">
        <v>648</v>
      </c>
      <c r="CJ330" s="83" t="s">
        <v>2722</v>
      </c>
      <c r="CK330" s="144">
        <v>0</v>
      </c>
      <c r="CL330" s="99">
        <v>4000</v>
      </c>
    </row>
    <row r="331" spans="1:90">
      <c r="A331" s="83" t="s">
        <v>2935</v>
      </c>
      <c r="B331" s="83" t="s">
        <v>728</v>
      </c>
      <c r="D331" s="83" t="s">
        <v>688</v>
      </c>
      <c r="E331" s="83" t="s">
        <v>2509</v>
      </c>
      <c r="F331" s="83" t="s">
        <v>1219</v>
      </c>
      <c r="G331" s="83" t="s">
        <v>1851</v>
      </c>
      <c r="H331" s="83" t="s">
        <v>1201</v>
      </c>
      <c r="I331" s="83" t="s">
        <v>1202</v>
      </c>
      <c r="J331" s="83" t="s">
        <v>1203</v>
      </c>
      <c r="K331" s="83" t="s">
        <v>565</v>
      </c>
      <c r="L331" s="83" t="s">
        <v>398</v>
      </c>
      <c r="M331" s="83" t="s">
        <v>399</v>
      </c>
      <c r="N331" s="83" t="s">
        <v>2899</v>
      </c>
      <c r="O331" s="83" t="s">
        <v>106</v>
      </c>
      <c r="P331" s="83">
        <v>8</v>
      </c>
      <c r="Q331" s="83" t="s">
        <v>106</v>
      </c>
      <c r="R331" s="83" t="s">
        <v>2694</v>
      </c>
      <c r="S331" s="83" t="s">
        <v>2714</v>
      </c>
      <c r="T331" s="83" t="s">
        <v>2843</v>
      </c>
      <c r="U331" s="83" t="s">
        <v>401</v>
      </c>
      <c r="AC331" s="83" t="s">
        <v>401</v>
      </c>
      <c r="AD331" s="83">
        <v>953000</v>
      </c>
      <c r="AF331" s="83">
        <v>144000</v>
      </c>
      <c r="AJ331" s="83">
        <v>1</v>
      </c>
      <c r="AK331" s="83">
        <v>1</v>
      </c>
      <c r="AL331" s="83">
        <v>6937</v>
      </c>
      <c r="AM331" s="83" t="s">
        <v>2693</v>
      </c>
      <c r="BK331" s="83" t="s">
        <v>2694</v>
      </c>
      <c r="BL331" s="83" t="s">
        <v>2697</v>
      </c>
      <c r="BM331" s="83" t="s">
        <v>2699</v>
      </c>
      <c r="BN331" s="83" t="s">
        <v>2698</v>
      </c>
      <c r="BO331" s="83" t="s">
        <v>2697</v>
      </c>
      <c r="BP331" s="83" t="s">
        <v>2697</v>
      </c>
      <c r="BQ331" s="83" t="s">
        <v>2699</v>
      </c>
      <c r="BR331" s="83" t="s">
        <v>2699</v>
      </c>
      <c r="BS331" s="83" t="s">
        <v>2699</v>
      </c>
      <c r="BT331" s="83" t="s">
        <v>2696</v>
      </c>
      <c r="BU331" s="83" t="s">
        <v>2699</v>
      </c>
      <c r="BV331" s="83" t="s">
        <v>2696</v>
      </c>
      <c r="BW331" s="83" t="s">
        <v>2698</v>
      </c>
      <c r="BX331" s="83" t="s">
        <v>2696</v>
      </c>
      <c r="BY331" s="83" t="s">
        <v>2699</v>
      </c>
      <c r="BZ331" s="83" t="s">
        <v>2693</v>
      </c>
      <c r="CA331" s="83" t="s">
        <v>2693</v>
      </c>
      <c r="CB331" s="83" t="s">
        <v>2694</v>
      </c>
      <c r="CC331" s="83" t="s">
        <v>2699</v>
      </c>
      <c r="CD331" s="83" t="s">
        <v>2696</v>
      </c>
      <c r="CF331" s="83" t="s">
        <v>2936</v>
      </c>
      <c r="CG331" s="83" t="s">
        <v>2937</v>
      </c>
      <c r="CH331" s="83" t="s">
        <v>2695</v>
      </c>
      <c r="CI331" s="83" t="s">
        <v>648</v>
      </c>
      <c r="CJ331" s="83" t="s">
        <v>2726</v>
      </c>
      <c r="CL331" s="99">
        <v>25000</v>
      </c>
    </row>
    <row r="332" spans="1:90">
      <c r="A332" s="83" t="s">
        <v>2935</v>
      </c>
      <c r="B332" s="83" t="s">
        <v>728</v>
      </c>
      <c r="D332" s="83" t="s">
        <v>673</v>
      </c>
      <c r="E332" s="83" t="s">
        <v>2510</v>
      </c>
      <c r="F332" s="83" t="s">
        <v>1219</v>
      </c>
      <c r="G332" s="83" t="s">
        <v>1851</v>
      </c>
      <c r="H332" s="83" t="s">
        <v>1201</v>
      </c>
      <c r="I332" s="83" t="s">
        <v>1202</v>
      </c>
      <c r="J332" s="83" t="s">
        <v>1203</v>
      </c>
      <c r="K332" s="83" t="s">
        <v>565</v>
      </c>
      <c r="L332" s="83" t="s">
        <v>398</v>
      </c>
      <c r="M332" s="83" t="s">
        <v>399</v>
      </c>
      <c r="N332" s="83" t="s">
        <v>2899</v>
      </c>
      <c r="O332" s="83" t="s">
        <v>106</v>
      </c>
      <c r="P332" s="83">
        <v>8</v>
      </c>
      <c r="Q332" s="83" t="s">
        <v>106</v>
      </c>
      <c r="R332" s="83" t="s">
        <v>2694</v>
      </c>
      <c r="S332" s="83" t="s">
        <v>2714</v>
      </c>
      <c r="T332" s="83" t="s">
        <v>2843</v>
      </c>
      <c r="U332" s="83" t="s">
        <v>401</v>
      </c>
      <c r="AC332" s="83" t="s">
        <v>401</v>
      </c>
      <c r="AD332" s="83">
        <v>1357000</v>
      </c>
      <c r="AF332" s="83">
        <v>170000</v>
      </c>
      <c r="AJ332" s="83">
        <v>1</v>
      </c>
      <c r="AK332" s="83">
        <v>2</v>
      </c>
      <c r="AL332" s="83">
        <v>8218</v>
      </c>
      <c r="AM332" s="83" t="s">
        <v>2693</v>
      </c>
      <c r="BK332" s="83" t="s">
        <v>2694</v>
      </c>
      <c r="BL332" s="83" t="s">
        <v>2697</v>
      </c>
      <c r="BM332" s="83" t="s">
        <v>2699</v>
      </c>
      <c r="BN332" s="83" t="s">
        <v>2698</v>
      </c>
      <c r="BO332" s="83" t="s">
        <v>2697</v>
      </c>
      <c r="BP332" s="83" t="s">
        <v>2697</v>
      </c>
      <c r="BQ332" s="83" t="s">
        <v>2699</v>
      </c>
      <c r="BR332" s="83" t="s">
        <v>2699</v>
      </c>
      <c r="BS332" s="83" t="s">
        <v>2699</v>
      </c>
      <c r="BT332" s="83" t="s">
        <v>2696</v>
      </c>
      <c r="BU332" s="83" t="s">
        <v>2699</v>
      </c>
      <c r="BV332" s="83" t="s">
        <v>2696</v>
      </c>
      <c r="BW332" s="83" t="s">
        <v>2698</v>
      </c>
      <c r="BX332" s="83" t="s">
        <v>2696</v>
      </c>
      <c r="BY332" s="83" t="s">
        <v>2699</v>
      </c>
      <c r="BZ332" s="83" t="s">
        <v>2693</v>
      </c>
      <c r="CA332" s="83" t="s">
        <v>2693</v>
      </c>
      <c r="CB332" s="83" t="s">
        <v>2694</v>
      </c>
      <c r="CC332" s="83" t="s">
        <v>2699</v>
      </c>
      <c r="CD332" s="83" t="s">
        <v>2696</v>
      </c>
      <c r="CF332" s="83" t="s">
        <v>2938</v>
      </c>
      <c r="CG332" s="83" t="s">
        <v>2939</v>
      </c>
      <c r="CH332" s="83" t="s">
        <v>2695</v>
      </c>
      <c r="CI332" s="83" t="s">
        <v>648</v>
      </c>
      <c r="CJ332" s="83" t="s">
        <v>2726</v>
      </c>
      <c r="CK332" s="144">
        <v>0</v>
      </c>
      <c r="CL332"/>
    </row>
    <row r="333" spans="1:90">
      <c r="A333" s="83" t="s">
        <v>2935</v>
      </c>
      <c r="B333" s="83" t="s">
        <v>728</v>
      </c>
      <c r="D333" s="83" t="s">
        <v>714</v>
      </c>
      <c r="E333" s="83" t="s">
        <v>2511</v>
      </c>
      <c r="F333" s="83" t="s">
        <v>1219</v>
      </c>
      <c r="G333" s="83" t="s">
        <v>1851</v>
      </c>
      <c r="H333" s="83" t="s">
        <v>1201</v>
      </c>
      <c r="I333" s="83" t="s">
        <v>1202</v>
      </c>
      <c r="J333" s="83" t="s">
        <v>1203</v>
      </c>
      <c r="K333" s="83" t="s">
        <v>565</v>
      </c>
      <c r="L333" s="83" t="s">
        <v>398</v>
      </c>
      <c r="M333" s="83" t="s">
        <v>399</v>
      </c>
      <c r="N333" s="83" t="s">
        <v>2899</v>
      </c>
      <c r="O333" s="83" t="s">
        <v>106</v>
      </c>
      <c r="P333" s="83">
        <v>8</v>
      </c>
      <c r="Q333" s="83" t="s">
        <v>106</v>
      </c>
      <c r="R333" s="83" t="s">
        <v>2694</v>
      </c>
      <c r="S333" s="83" t="s">
        <v>2714</v>
      </c>
      <c r="T333" s="83" t="s">
        <v>2843</v>
      </c>
      <c r="U333" s="83" t="s">
        <v>401</v>
      </c>
      <c r="AC333" s="83" t="s">
        <v>401</v>
      </c>
      <c r="AD333" s="83">
        <v>144000</v>
      </c>
      <c r="AF333" s="83">
        <v>0</v>
      </c>
      <c r="AJ333" s="83">
        <v>1</v>
      </c>
      <c r="AK333" s="83">
        <v>1</v>
      </c>
      <c r="AL333" s="83">
        <v>1020</v>
      </c>
      <c r="AM333" s="83" t="s">
        <v>2693</v>
      </c>
      <c r="BK333" s="83" t="s">
        <v>2694</v>
      </c>
      <c r="BL333" s="83" t="s">
        <v>2697</v>
      </c>
      <c r="BM333" s="83" t="s">
        <v>2699</v>
      </c>
      <c r="BN333" s="83" t="s">
        <v>2698</v>
      </c>
      <c r="BO333" s="83" t="s">
        <v>2697</v>
      </c>
      <c r="BP333" s="83" t="s">
        <v>2697</v>
      </c>
      <c r="BQ333" s="83" t="s">
        <v>2699</v>
      </c>
      <c r="BR333" s="83" t="s">
        <v>2699</v>
      </c>
      <c r="BS333" s="83" t="s">
        <v>2699</v>
      </c>
      <c r="BT333" s="83" t="s">
        <v>2696</v>
      </c>
      <c r="BU333" s="83" t="s">
        <v>2699</v>
      </c>
      <c r="BV333" s="83" t="s">
        <v>2696</v>
      </c>
      <c r="BW333" s="83" t="s">
        <v>2698</v>
      </c>
      <c r="BX333" s="83" t="s">
        <v>2696</v>
      </c>
      <c r="BY333" s="83" t="s">
        <v>2699</v>
      </c>
      <c r="BZ333" s="83" t="s">
        <v>2693</v>
      </c>
      <c r="CA333" s="83" t="s">
        <v>2693</v>
      </c>
      <c r="CB333" s="83" t="s">
        <v>2694</v>
      </c>
      <c r="CC333" s="83" t="s">
        <v>2699</v>
      </c>
      <c r="CD333" s="83" t="s">
        <v>2696</v>
      </c>
      <c r="CF333" s="83" t="s">
        <v>2940</v>
      </c>
      <c r="CG333" s="83" t="s">
        <v>2941</v>
      </c>
      <c r="CH333" s="83" t="s">
        <v>2695</v>
      </c>
      <c r="CI333" s="83" t="s">
        <v>648</v>
      </c>
      <c r="CJ333" s="83" t="s">
        <v>2726</v>
      </c>
      <c r="CK333" s="144">
        <v>1</v>
      </c>
      <c r="CL333"/>
    </row>
    <row r="334" spans="1:90">
      <c r="A334" s="83" t="s">
        <v>1568</v>
      </c>
      <c r="B334" s="83" t="s">
        <v>698</v>
      </c>
      <c r="D334" s="83" t="s">
        <v>688</v>
      </c>
      <c r="E334" s="83" t="s">
        <v>698</v>
      </c>
      <c r="F334" s="83" t="s">
        <v>1762</v>
      </c>
      <c r="G334" s="83" t="s">
        <v>1874</v>
      </c>
      <c r="H334" s="83" t="s">
        <v>1201</v>
      </c>
      <c r="I334" s="83" t="s">
        <v>1202</v>
      </c>
      <c r="J334" s="83" t="s">
        <v>1203</v>
      </c>
      <c r="K334" s="83" t="s">
        <v>565</v>
      </c>
      <c r="L334" s="83" t="s">
        <v>398</v>
      </c>
      <c r="M334" s="83" t="s">
        <v>399</v>
      </c>
      <c r="N334" s="83" t="s">
        <v>2752</v>
      </c>
      <c r="O334" s="83" t="s">
        <v>106</v>
      </c>
      <c r="P334" s="83">
        <v>5</v>
      </c>
      <c r="Q334" s="83" t="s">
        <v>106</v>
      </c>
      <c r="R334" s="83" t="s">
        <v>2730</v>
      </c>
      <c r="S334" s="83" t="s">
        <v>1460</v>
      </c>
      <c r="T334" s="83" t="s">
        <v>2714</v>
      </c>
      <c r="U334" s="83" t="s">
        <v>401</v>
      </c>
      <c r="AC334" s="83" t="s">
        <v>401</v>
      </c>
      <c r="AD334" s="83">
        <v>20615000</v>
      </c>
      <c r="AF334" s="83">
        <v>2195000</v>
      </c>
      <c r="AJ334" s="83">
        <v>1</v>
      </c>
      <c r="AK334" s="83">
        <v>4</v>
      </c>
      <c r="AL334" s="83">
        <v>106030</v>
      </c>
      <c r="AM334" s="83" t="s">
        <v>2693</v>
      </c>
      <c r="BK334" s="83" t="s">
        <v>2694</v>
      </c>
      <c r="BL334" s="83" t="s">
        <v>2697</v>
      </c>
      <c r="BM334" s="83" t="s">
        <v>2699</v>
      </c>
      <c r="BN334" s="83" t="s">
        <v>2698</v>
      </c>
      <c r="BO334" s="83" t="s">
        <v>2693</v>
      </c>
      <c r="BP334" s="83" t="s">
        <v>2697</v>
      </c>
      <c r="BQ334" s="83" t="s">
        <v>2699</v>
      </c>
      <c r="BR334" s="83" t="s">
        <v>2699</v>
      </c>
      <c r="BS334" s="83" t="s">
        <v>2699</v>
      </c>
      <c r="BT334" s="83">
        <v>0</v>
      </c>
      <c r="BU334" s="83" t="s">
        <v>2699</v>
      </c>
      <c r="BV334" s="83" t="s">
        <v>2693</v>
      </c>
      <c r="BW334" s="83" t="s">
        <v>2698</v>
      </c>
      <c r="BX334" s="83" t="s">
        <v>2696</v>
      </c>
      <c r="BY334" s="83" t="s">
        <v>2699</v>
      </c>
      <c r="BZ334" s="83" t="s">
        <v>2699</v>
      </c>
      <c r="CA334" s="83" t="s">
        <v>2693</v>
      </c>
      <c r="CB334" s="83">
        <v>3</v>
      </c>
      <c r="CC334" s="83" t="s">
        <v>2699</v>
      </c>
      <c r="CD334" s="83" t="s">
        <v>2699</v>
      </c>
      <c r="CF334" s="83" t="s">
        <v>2204</v>
      </c>
      <c r="CG334" s="83" t="s">
        <v>2205</v>
      </c>
      <c r="CH334" s="83" t="s">
        <v>2725</v>
      </c>
      <c r="CI334" s="83" t="s">
        <v>778</v>
      </c>
      <c r="CJ334" s="83" t="s">
        <v>2780</v>
      </c>
      <c r="CK334" s="144">
        <v>0</v>
      </c>
      <c r="CL334"/>
    </row>
    <row r="335" spans="1:90">
      <c r="A335" s="83" t="s">
        <v>1469</v>
      </c>
      <c r="B335" s="83" t="s">
        <v>1518</v>
      </c>
      <c r="D335" s="83" t="s">
        <v>688</v>
      </c>
      <c r="E335" s="83" t="s">
        <v>1518</v>
      </c>
      <c r="F335" s="83" t="s">
        <v>1766</v>
      </c>
      <c r="G335" s="83" t="s">
        <v>1164</v>
      </c>
      <c r="H335" s="83" t="s">
        <v>1201</v>
      </c>
      <c r="I335" s="83" t="s">
        <v>1202</v>
      </c>
      <c r="J335" s="83" t="s">
        <v>1203</v>
      </c>
      <c r="K335" s="83" t="s">
        <v>565</v>
      </c>
      <c r="L335" s="83" t="s">
        <v>398</v>
      </c>
      <c r="M335" s="83" t="s">
        <v>399</v>
      </c>
      <c r="N335" s="83" t="s">
        <v>2752</v>
      </c>
      <c r="O335" s="83" t="s">
        <v>106</v>
      </c>
      <c r="P335" s="83">
        <v>4</v>
      </c>
      <c r="Q335" s="83" t="s">
        <v>106</v>
      </c>
      <c r="R335" s="83" t="s">
        <v>2727</v>
      </c>
      <c r="S335" s="83" t="s">
        <v>2811</v>
      </c>
      <c r="T335" s="83" t="s">
        <v>2703</v>
      </c>
      <c r="U335" s="83" t="s">
        <v>401</v>
      </c>
      <c r="AC335" s="83" t="s">
        <v>401</v>
      </c>
      <c r="AD335" s="83">
        <v>151000</v>
      </c>
      <c r="AF335" s="83">
        <v>0</v>
      </c>
      <c r="AJ335" s="83">
        <v>1</v>
      </c>
      <c r="AK335" s="83">
        <v>1</v>
      </c>
      <c r="AL335" s="83">
        <v>1250</v>
      </c>
      <c r="AM335" s="83" t="s">
        <v>2693</v>
      </c>
      <c r="BK335" s="83" t="s">
        <v>2694</v>
      </c>
      <c r="BL335" s="83" t="s">
        <v>2698</v>
      </c>
      <c r="BM335" s="83" t="s">
        <v>2697</v>
      </c>
      <c r="BN335" s="83" t="s">
        <v>2699</v>
      </c>
      <c r="BO335" s="83" t="s">
        <v>2697</v>
      </c>
      <c r="BP335" s="83" t="s">
        <v>2695</v>
      </c>
      <c r="BQ335" s="83" t="s">
        <v>2693</v>
      </c>
      <c r="BR335" s="83" t="s">
        <v>2693</v>
      </c>
      <c r="BS335" s="83" t="s">
        <v>2699</v>
      </c>
      <c r="BT335" s="83">
        <v>0</v>
      </c>
      <c r="BU335" s="83" t="s">
        <v>2699</v>
      </c>
      <c r="BV335" s="83" t="s">
        <v>2696</v>
      </c>
      <c r="BW335" s="83" t="s">
        <v>2698</v>
      </c>
      <c r="BX335" s="83" t="s">
        <v>2693</v>
      </c>
      <c r="BY335" s="83" t="s">
        <v>2699</v>
      </c>
      <c r="BZ335" s="83" t="s">
        <v>2699</v>
      </c>
      <c r="CA335" s="83" t="s">
        <v>2693</v>
      </c>
      <c r="CB335" s="83" t="s">
        <v>2694</v>
      </c>
      <c r="CC335" s="83" t="s">
        <v>2699</v>
      </c>
      <c r="CD335" s="83" t="s">
        <v>2696</v>
      </c>
      <c r="CF335" s="83" t="s">
        <v>2197</v>
      </c>
      <c r="CG335" s="83" t="s">
        <v>2198</v>
      </c>
      <c r="CH335" s="83" t="s">
        <v>2693</v>
      </c>
      <c r="CI335" s="83" t="s">
        <v>2693</v>
      </c>
      <c r="CJ335" s="83" t="s">
        <v>2701</v>
      </c>
      <c r="CK335" s="144">
        <v>0</v>
      </c>
      <c r="CL335"/>
    </row>
    <row r="336" spans="1:90">
      <c r="A336" s="83" t="s">
        <v>3382</v>
      </c>
      <c r="B336" s="83" t="s">
        <v>3383</v>
      </c>
      <c r="D336" s="83" t="s">
        <v>688</v>
      </c>
      <c r="E336" s="83" t="s">
        <v>2356</v>
      </c>
      <c r="F336" s="83" t="s">
        <v>3384</v>
      </c>
      <c r="G336" s="83" t="s">
        <v>671</v>
      </c>
      <c r="H336" s="83" t="s">
        <v>566</v>
      </c>
      <c r="I336" s="83" t="s">
        <v>567</v>
      </c>
      <c r="J336" s="83" t="s">
        <v>564</v>
      </c>
      <c r="K336" s="83" t="s">
        <v>565</v>
      </c>
      <c r="L336" s="83" t="s">
        <v>398</v>
      </c>
      <c r="M336" s="83" t="s">
        <v>399</v>
      </c>
      <c r="N336" s="83" t="s">
        <v>2792</v>
      </c>
      <c r="O336" s="83" t="s">
        <v>106</v>
      </c>
      <c r="P336" s="83">
        <v>4</v>
      </c>
      <c r="Q336" s="83" t="s">
        <v>106</v>
      </c>
      <c r="R336" s="83" t="s">
        <v>2799</v>
      </c>
      <c r="S336" s="83" t="s">
        <v>2720</v>
      </c>
      <c r="T336" s="83" t="s">
        <v>2703</v>
      </c>
      <c r="U336" s="83" t="s">
        <v>401</v>
      </c>
      <c r="AC336" s="83" t="s">
        <v>401</v>
      </c>
      <c r="AD336" s="83">
        <v>452000</v>
      </c>
      <c r="AF336" s="83">
        <v>97000</v>
      </c>
      <c r="AJ336" s="83">
        <v>1</v>
      </c>
      <c r="AK336" s="83">
        <v>1</v>
      </c>
      <c r="AL336" s="83">
        <v>4680</v>
      </c>
      <c r="AM336" s="83" t="s">
        <v>2693</v>
      </c>
      <c r="BK336" s="83" t="s">
        <v>2694</v>
      </c>
      <c r="BL336" s="83" t="s">
        <v>2704</v>
      </c>
      <c r="BM336" s="83" t="s">
        <v>2698</v>
      </c>
      <c r="BN336" s="83" t="s">
        <v>2698</v>
      </c>
      <c r="BO336" s="83" t="s">
        <v>2697</v>
      </c>
      <c r="BP336" s="83" t="s">
        <v>2695</v>
      </c>
      <c r="BQ336" s="83" t="s">
        <v>2699</v>
      </c>
      <c r="BR336" s="83" t="s">
        <v>2693</v>
      </c>
      <c r="BS336" s="83" t="s">
        <v>2699</v>
      </c>
      <c r="BT336" s="83" t="s">
        <v>2696</v>
      </c>
      <c r="BU336" s="83" t="s">
        <v>2699</v>
      </c>
      <c r="BV336" s="83" t="s">
        <v>2697</v>
      </c>
      <c r="BW336" s="83" t="s">
        <v>2698</v>
      </c>
      <c r="BX336" s="83" t="s">
        <v>2696</v>
      </c>
      <c r="BY336" s="83" t="s">
        <v>2699</v>
      </c>
      <c r="BZ336" s="83" t="s">
        <v>2699</v>
      </c>
      <c r="CA336" s="83" t="s">
        <v>2693</v>
      </c>
      <c r="CB336" s="83" t="s">
        <v>2694</v>
      </c>
      <c r="CC336" s="83" t="s">
        <v>2699</v>
      </c>
      <c r="CD336" s="83" t="s">
        <v>2696</v>
      </c>
      <c r="CF336" s="83" t="s">
        <v>597</v>
      </c>
      <c r="CG336" s="83" t="s">
        <v>598</v>
      </c>
      <c r="CH336" s="83" t="s">
        <v>2693</v>
      </c>
      <c r="CI336" s="83" t="s">
        <v>3992</v>
      </c>
      <c r="CJ336" s="83" t="s">
        <v>2701</v>
      </c>
      <c r="CK336" s="144">
        <v>0</v>
      </c>
      <c r="CL336" s="99">
        <v>9000</v>
      </c>
    </row>
    <row r="337" spans="1:90">
      <c r="A337" s="83" t="s">
        <v>713</v>
      </c>
      <c r="B337" s="83" t="s">
        <v>2351</v>
      </c>
      <c r="D337" s="83" t="s">
        <v>688</v>
      </c>
      <c r="E337" s="83" t="s">
        <v>543</v>
      </c>
      <c r="F337" s="83" t="s">
        <v>3381</v>
      </c>
      <c r="G337" s="83" t="s">
        <v>671</v>
      </c>
      <c r="H337" s="83" t="s">
        <v>566</v>
      </c>
      <c r="I337" s="83" t="s">
        <v>567</v>
      </c>
      <c r="J337" s="83" t="s">
        <v>564</v>
      </c>
      <c r="K337" s="83" t="s">
        <v>565</v>
      </c>
      <c r="L337" s="83" t="s">
        <v>398</v>
      </c>
      <c r="M337" s="83" t="s">
        <v>399</v>
      </c>
      <c r="N337" s="83" t="s">
        <v>2792</v>
      </c>
      <c r="O337" s="83" t="s">
        <v>106</v>
      </c>
      <c r="P337" s="83">
        <v>4</v>
      </c>
      <c r="Q337" s="83" t="s">
        <v>106</v>
      </c>
      <c r="R337" s="83" t="s">
        <v>2799</v>
      </c>
      <c r="S337" s="83" t="s">
        <v>2772</v>
      </c>
      <c r="T337" s="83" t="s">
        <v>2703</v>
      </c>
      <c r="U337" s="83" t="s">
        <v>401</v>
      </c>
      <c r="AC337" s="83" t="s">
        <v>401</v>
      </c>
      <c r="AD337" s="83">
        <v>503000</v>
      </c>
      <c r="AF337" s="83">
        <v>100000</v>
      </c>
      <c r="AJ337" s="83">
        <v>1</v>
      </c>
      <c r="AK337" s="83">
        <v>1</v>
      </c>
      <c r="AL337" s="83">
        <v>4818</v>
      </c>
      <c r="AM337" s="83" t="s">
        <v>2693</v>
      </c>
      <c r="BK337" s="83" t="s">
        <v>2694</v>
      </c>
      <c r="BL337" s="83" t="s">
        <v>2697</v>
      </c>
      <c r="BM337" s="83" t="s">
        <v>2693</v>
      </c>
      <c r="BN337" s="83" t="s">
        <v>2698</v>
      </c>
      <c r="BO337" s="83" t="s">
        <v>2697</v>
      </c>
      <c r="BP337" s="83" t="s">
        <v>2697</v>
      </c>
      <c r="BQ337" s="83" t="s">
        <v>2699</v>
      </c>
      <c r="BR337" s="83" t="s">
        <v>2693</v>
      </c>
      <c r="BS337" s="83" t="s">
        <v>2699</v>
      </c>
      <c r="BT337" s="83" t="s">
        <v>2696</v>
      </c>
      <c r="BU337" s="83" t="s">
        <v>2699</v>
      </c>
      <c r="BV337" s="83" t="s">
        <v>2699</v>
      </c>
      <c r="BW337" s="83" t="s">
        <v>2698</v>
      </c>
      <c r="BX337" s="83" t="s">
        <v>2696</v>
      </c>
      <c r="BY337" s="83" t="s">
        <v>2699</v>
      </c>
      <c r="BZ337" s="83" t="s">
        <v>2699</v>
      </c>
      <c r="CA337" s="83" t="s">
        <v>2693</v>
      </c>
      <c r="CB337" s="83" t="s">
        <v>2694</v>
      </c>
      <c r="CC337" s="83" t="s">
        <v>2699</v>
      </c>
      <c r="CD337" s="83" t="s">
        <v>2696</v>
      </c>
      <c r="CF337" s="83" t="s">
        <v>588</v>
      </c>
      <c r="CG337" s="83" t="s">
        <v>589</v>
      </c>
      <c r="CH337" s="83" t="s">
        <v>2693</v>
      </c>
      <c r="CI337" s="83" t="s">
        <v>3992</v>
      </c>
      <c r="CJ337" s="83" t="s">
        <v>2701</v>
      </c>
      <c r="CK337" s="144">
        <v>0</v>
      </c>
      <c r="CL337" s="99">
        <v>75000</v>
      </c>
    </row>
    <row r="338" spans="1:90">
      <c r="A338" s="83" t="s">
        <v>713</v>
      </c>
      <c r="B338" s="83" t="s">
        <v>2351</v>
      </c>
      <c r="D338" s="83" t="s">
        <v>673</v>
      </c>
      <c r="E338" s="83" t="s">
        <v>544</v>
      </c>
      <c r="F338" s="83" t="s">
        <v>3381</v>
      </c>
      <c r="G338" s="83" t="s">
        <v>671</v>
      </c>
      <c r="H338" s="83" t="s">
        <v>566</v>
      </c>
      <c r="I338" s="83" t="s">
        <v>567</v>
      </c>
      <c r="J338" s="83" t="s">
        <v>564</v>
      </c>
      <c r="K338" s="83" t="s">
        <v>565</v>
      </c>
      <c r="L338" s="83" t="s">
        <v>398</v>
      </c>
      <c r="M338" s="83" t="s">
        <v>399</v>
      </c>
      <c r="N338" s="83" t="s">
        <v>2792</v>
      </c>
      <c r="O338" s="83" t="s">
        <v>106</v>
      </c>
      <c r="P338" s="83">
        <v>9</v>
      </c>
      <c r="Q338" s="83" t="s">
        <v>106</v>
      </c>
      <c r="R338" s="83" t="s">
        <v>2799</v>
      </c>
      <c r="S338" s="83" t="s">
        <v>1461</v>
      </c>
      <c r="T338" s="83" t="s">
        <v>2703</v>
      </c>
      <c r="U338" s="83" t="s">
        <v>401</v>
      </c>
      <c r="AC338" s="83" t="s">
        <v>401</v>
      </c>
      <c r="AD338" s="83">
        <v>1110000</v>
      </c>
      <c r="AF338" s="83">
        <v>104000</v>
      </c>
      <c r="AJ338" s="83">
        <v>1</v>
      </c>
      <c r="AK338" s="83">
        <v>1</v>
      </c>
      <c r="AL338" s="83">
        <v>11110</v>
      </c>
      <c r="AM338" s="83" t="s">
        <v>2693</v>
      </c>
      <c r="BK338" s="83" t="s">
        <v>2694</v>
      </c>
      <c r="BL338" s="83" t="s">
        <v>2693</v>
      </c>
      <c r="BM338" s="83" t="s">
        <v>2698</v>
      </c>
      <c r="BN338" s="83" t="s">
        <v>2698</v>
      </c>
      <c r="BO338" s="83" t="s">
        <v>2699</v>
      </c>
      <c r="BP338" s="83" t="s">
        <v>2697</v>
      </c>
      <c r="BQ338" s="83" t="s">
        <v>2699</v>
      </c>
      <c r="BR338" s="83" t="s">
        <v>2693</v>
      </c>
      <c r="BS338" s="83" t="s">
        <v>2699</v>
      </c>
      <c r="BT338" s="83" t="s">
        <v>2696</v>
      </c>
      <c r="BU338" s="83" t="s">
        <v>2699</v>
      </c>
      <c r="BV338" s="83" t="s">
        <v>2697</v>
      </c>
      <c r="BW338" s="83" t="s">
        <v>2693</v>
      </c>
      <c r="BX338" s="83" t="s">
        <v>2696</v>
      </c>
      <c r="BY338" s="83" t="s">
        <v>2699</v>
      </c>
      <c r="BZ338" s="83" t="s">
        <v>2699</v>
      </c>
      <c r="CA338" s="83" t="s">
        <v>2693</v>
      </c>
      <c r="CB338" s="83" t="s">
        <v>2694</v>
      </c>
      <c r="CC338" s="83" t="s">
        <v>2699</v>
      </c>
      <c r="CD338" s="83" t="s">
        <v>2699</v>
      </c>
      <c r="CF338" s="83" t="s">
        <v>590</v>
      </c>
      <c r="CG338" s="83" t="s">
        <v>591</v>
      </c>
      <c r="CH338" s="83" t="s">
        <v>2697</v>
      </c>
      <c r="CI338" s="83" t="s">
        <v>648</v>
      </c>
      <c r="CJ338" s="83" t="s">
        <v>2757</v>
      </c>
      <c r="CK338" s="144">
        <v>0</v>
      </c>
      <c r="CL338"/>
    </row>
    <row r="339" spans="1:90">
      <c r="A339" s="83" t="s">
        <v>3379</v>
      </c>
      <c r="B339" s="83" t="s">
        <v>2350</v>
      </c>
      <c r="D339" s="83" t="s">
        <v>688</v>
      </c>
      <c r="E339" s="83" t="s">
        <v>3380</v>
      </c>
      <c r="F339" s="83" t="s">
        <v>3377</v>
      </c>
      <c r="G339" s="83" t="s">
        <v>671</v>
      </c>
      <c r="H339" s="83" t="s">
        <v>566</v>
      </c>
      <c r="I339" s="83" t="s">
        <v>567</v>
      </c>
      <c r="J339" s="83" t="s">
        <v>564</v>
      </c>
      <c r="K339" s="83" t="s">
        <v>565</v>
      </c>
      <c r="L339" s="83" t="s">
        <v>398</v>
      </c>
      <c r="M339" s="83" t="s">
        <v>399</v>
      </c>
      <c r="N339" s="83" t="s">
        <v>2792</v>
      </c>
      <c r="O339" s="83" t="s">
        <v>106</v>
      </c>
      <c r="P339" s="83">
        <v>4</v>
      </c>
      <c r="Q339" s="83" t="s">
        <v>106</v>
      </c>
      <c r="R339" s="83" t="s">
        <v>2799</v>
      </c>
      <c r="S339" s="83" t="s">
        <v>1464</v>
      </c>
      <c r="T339" s="83" t="s">
        <v>2703</v>
      </c>
      <c r="U339" s="83" t="s">
        <v>401</v>
      </c>
      <c r="AC339" s="83" t="s">
        <v>401</v>
      </c>
      <c r="AD339" s="83">
        <v>276000</v>
      </c>
      <c r="AF339" s="83">
        <v>32000</v>
      </c>
      <c r="AJ339" s="83">
        <v>1</v>
      </c>
      <c r="AK339" s="83">
        <v>1</v>
      </c>
      <c r="AL339" s="83">
        <v>5288</v>
      </c>
      <c r="AM339" s="83" t="s">
        <v>2693</v>
      </c>
      <c r="BK339" s="83" t="s">
        <v>2694</v>
      </c>
      <c r="BL339" s="83" t="s">
        <v>2697</v>
      </c>
      <c r="BM339" s="83" t="s">
        <v>2693</v>
      </c>
      <c r="BN339" s="83" t="s">
        <v>2698</v>
      </c>
      <c r="BO339" s="83" t="s">
        <v>2697</v>
      </c>
      <c r="BP339" s="83" t="s">
        <v>2697</v>
      </c>
      <c r="BQ339" s="83" t="s">
        <v>2699</v>
      </c>
      <c r="BR339" s="83" t="s">
        <v>2693</v>
      </c>
      <c r="BS339" s="83" t="s">
        <v>2699</v>
      </c>
      <c r="BT339" s="83" t="s">
        <v>2696</v>
      </c>
      <c r="BU339" s="83" t="s">
        <v>2699</v>
      </c>
      <c r="BV339" s="83" t="s">
        <v>2697</v>
      </c>
      <c r="BW339" s="83" t="s">
        <v>2698</v>
      </c>
      <c r="BX339" s="83" t="s">
        <v>2696</v>
      </c>
      <c r="BY339" s="83" t="s">
        <v>2699</v>
      </c>
      <c r="BZ339" s="83" t="s">
        <v>2699</v>
      </c>
      <c r="CA339" s="83" t="s">
        <v>2693</v>
      </c>
      <c r="CB339" s="83" t="s">
        <v>2694</v>
      </c>
      <c r="CC339" s="83" t="s">
        <v>2699</v>
      </c>
      <c r="CD339" s="83" t="s">
        <v>2696</v>
      </c>
      <c r="CF339" s="83" t="s">
        <v>586</v>
      </c>
      <c r="CG339" s="83" t="s">
        <v>587</v>
      </c>
      <c r="CH339" s="83" t="s">
        <v>2693</v>
      </c>
      <c r="CI339" s="83" t="s">
        <v>3992</v>
      </c>
      <c r="CJ339" s="83" t="s">
        <v>2701</v>
      </c>
      <c r="CK339" s="144">
        <v>0</v>
      </c>
      <c r="CL339"/>
    </row>
    <row r="340" spans="1:90">
      <c r="A340" s="83" t="s">
        <v>538</v>
      </c>
      <c r="B340" s="83" t="s">
        <v>2352</v>
      </c>
      <c r="D340" s="83" t="s">
        <v>688</v>
      </c>
      <c r="E340" s="83" t="s">
        <v>2353</v>
      </c>
      <c r="F340" s="83" t="s">
        <v>3377</v>
      </c>
      <c r="G340" s="83" t="s">
        <v>671</v>
      </c>
      <c r="H340" s="83" t="s">
        <v>566</v>
      </c>
      <c r="I340" s="83" t="s">
        <v>567</v>
      </c>
      <c r="J340" s="83" t="s">
        <v>564</v>
      </c>
      <c r="K340" s="83" t="s">
        <v>565</v>
      </c>
      <c r="L340" s="83" t="s">
        <v>398</v>
      </c>
      <c r="M340" s="83" t="s">
        <v>399</v>
      </c>
      <c r="N340" s="83" t="s">
        <v>2792</v>
      </c>
      <c r="O340" s="83" t="s">
        <v>106</v>
      </c>
      <c r="P340" s="83">
        <v>5</v>
      </c>
      <c r="Q340" s="83" t="s">
        <v>106</v>
      </c>
      <c r="R340" s="83" t="s">
        <v>2799</v>
      </c>
      <c r="S340" s="83" t="s">
        <v>2712</v>
      </c>
      <c r="T340" s="83" t="s">
        <v>2703</v>
      </c>
      <c r="U340" s="83" t="s">
        <v>401</v>
      </c>
      <c r="AC340" s="83" t="s">
        <v>401</v>
      </c>
      <c r="AJ340" s="83">
        <v>1</v>
      </c>
      <c r="AK340" s="83">
        <v>1</v>
      </c>
      <c r="AL340" s="83">
        <v>49</v>
      </c>
      <c r="AM340" s="83" t="s">
        <v>2693</v>
      </c>
      <c r="BK340" s="83" t="s">
        <v>2694</v>
      </c>
      <c r="BL340" s="83" t="s">
        <v>2695</v>
      </c>
      <c r="BM340" s="83" t="s">
        <v>2693</v>
      </c>
      <c r="BN340" s="83" t="s">
        <v>2698</v>
      </c>
      <c r="BO340" s="83" t="s">
        <v>2697</v>
      </c>
      <c r="BP340" s="83" t="s">
        <v>2699</v>
      </c>
      <c r="BQ340" s="83" t="s">
        <v>2699</v>
      </c>
      <c r="BR340" s="83" t="s">
        <v>2693</v>
      </c>
      <c r="BS340" s="83" t="s">
        <v>2699</v>
      </c>
      <c r="BT340" s="83" t="s">
        <v>2696</v>
      </c>
      <c r="BU340" s="83" t="s">
        <v>2699</v>
      </c>
      <c r="BV340" s="83" t="s">
        <v>2697</v>
      </c>
      <c r="BW340" s="83" t="s">
        <v>2698</v>
      </c>
      <c r="BX340" s="83" t="s">
        <v>2696</v>
      </c>
      <c r="BY340" s="83" t="s">
        <v>2699</v>
      </c>
      <c r="BZ340" s="83" t="s">
        <v>2699</v>
      </c>
      <c r="CA340" s="83" t="s">
        <v>2693</v>
      </c>
      <c r="CB340" s="83" t="s">
        <v>2694</v>
      </c>
      <c r="CC340" s="83" t="s">
        <v>2699</v>
      </c>
      <c r="CD340" s="83" t="s">
        <v>2696</v>
      </c>
      <c r="CF340" s="83" t="s">
        <v>586</v>
      </c>
      <c r="CG340" s="83" t="s">
        <v>592</v>
      </c>
      <c r="CH340" s="83" t="s">
        <v>2725</v>
      </c>
      <c r="CI340" s="83" t="s">
        <v>1358</v>
      </c>
      <c r="CJ340" s="83" t="s">
        <v>2726</v>
      </c>
      <c r="CK340" s="144">
        <v>0</v>
      </c>
      <c r="CL340"/>
    </row>
    <row r="341" spans="1:90">
      <c r="A341" s="83" t="s">
        <v>538</v>
      </c>
      <c r="B341" s="83" t="s">
        <v>2352</v>
      </c>
      <c r="D341" s="83" t="s">
        <v>673</v>
      </c>
      <c r="E341" s="83" t="s">
        <v>2354</v>
      </c>
      <c r="F341" s="83" t="s">
        <v>3377</v>
      </c>
      <c r="G341" s="83" t="s">
        <v>671</v>
      </c>
      <c r="H341" s="83" t="s">
        <v>566</v>
      </c>
      <c r="I341" s="83" t="s">
        <v>567</v>
      </c>
      <c r="J341" s="83" t="s">
        <v>564</v>
      </c>
      <c r="K341" s="83" t="s">
        <v>565</v>
      </c>
      <c r="L341" s="83" t="s">
        <v>398</v>
      </c>
      <c r="M341" s="83" t="s">
        <v>399</v>
      </c>
      <c r="N341" s="83" t="s">
        <v>2792</v>
      </c>
      <c r="O341" s="83" t="s">
        <v>106</v>
      </c>
      <c r="P341" s="83">
        <v>5</v>
      </c>
      <c r="Q341" s="83" t="s">
        <v>106</v>
      </c>
      <c r="R341" s="83" t="s">
        <v>2799</v>
      </c>
      <c r="S341" s="83" t="s">
        <v>2712</v>
      </c>
      <c r="T341" s="83" t="s">
        <v>2703</v>
      </c>
      <c r="U341" s="83" t="s">
        <v>401</v>
      </c>
      <c r="AC341" s="83" t="s">
        <v>401</v>
      </c>
      <c r="AJ341" s="83">
        <v>1</v>
      </c>
      <c r="AK341" s="83">
        <v>1</v>
      </c>
      <c r="AL341" s="83">
        <v>100</v>
      </c>
      <c r="AM341" s="83" t="s">
        <v>2693</v>
      </c>
      <c r="BK341" s="83" t="s">
        <v>2694</v>
      </c>
      <c r="BL341" s="83" t="s">
        <v>2695</v>
      </c>
      <c r="BM341" s="83" t="s">
        <v>2693</v>
      </c>
      <c r="BN341" s="83" t="s">
        <v>2698</v>
      </c>
      <c r="BO341" s="83" t="s">
        <v>2697</v>
      </c>
      <c r="BP341" s="83" t="s">
        <v>2699</v>
      </c>
      <c r="BQ341" s="83" t="s">
        <v>2699</v>
      </c>
      <c r="BR341" s="83" t="s">
        <v>2693</v>
      </c>
      <c r="BS341" s="83" t="s">
        <v>2699</v>
      </c>
      <c r="BT341" s="83" t="s">
        <v>2696</v>
      </c>
      <c r="BU341" s="83" t="s">
        <v>2699</v>
      </c>
      <c r="BV341" s="83" t="s">
        <v>2697</v>
      </c>
      <c r="BW341" s="83" t="s">
        <v>2698</v>
      </c>
      <c r="BX341" s="83" t="s">
        <v>2696</v>
      </c>
      <c r="BY341" s="83" t="s">
        <v>2699</v>
      </c>
      <c r="BZ341" s="83" t="s">
        <v>2699</v>
      </c>
      <c r="CA341" s="83" t="s">
        <v>2693</v>
      </c>
      <c r="CB341" s="83" t="s">
        <v>2694</v>
      </c>
      <c r="CC341" s="83" t="s">
        <v>2699</v>
      </c>
      <c r="CD341" s="83" t="s">
        <v>2696</v>
      </c>
      <c r="CF341" s="83" t="s">
        <v>593</v>
      </c>
      <c r="CG341" s="83" t="s">
        <v>594</v>
      </c>
      <c r="CH341" s="83" t="s">
        <v>2725</v>
      </c>
      <c r="CI341" s="83" t="s">
        <v>1358</v>
      </c>
      <c r="CJ341" s="83" t="s">
        <v>2726</v>
      </c>
      <c r="CK341" s="144">
        <v>0</v>
      </c>
      <c r="CL341"/>
    </row>
    <row r="342" spans="1:90">
      <c r="A342" s="83" t="s">
        <v>538</v>
      </c>
      <c r="B342" s="83" t="s">
        <v>2352</v>
      </c>
      <c r="D342" s="83" t="s">
        <v>714</v>
      </c>
      <c r="E342" s="83" t="s">
        <v>2355</v>
      </c>
      <c r="F342" s="83" t="s">
        <v>3377</v>
      </c>
      <c r="G342" s="83" t="s">
        <v>671</v>
      </c>
      <c r="H342" s="83" t="s">
        <v>566</v>
      </c>
      <c r="I342" s="83" t="s">
        <v>567</v>
      </c>
      <c r="J342" s="83" t="s">
        <v>564</v>
      </c>
      <c r="K342" s="83" t="s">
        <v>565</v>
      </c>
      <c r="L342" s="83" t="s">
        <v>398</v>
      </c>
      <c r="M342" s="83" t="s">
        <v>399</v>
      </c>
      <c r="N342" s="83" t="s">
        <v>2792</v>
      </c>
      <c r="O342" s="83" t="s">
        <v>106</v>
      </c>
      <c r="P342" s="83">
        <v>5</v>
      </c>
      <c r="Q342" s="83" t="s">
        <v>106</v>
      </c>
      <c r="R342" s="83" t="s">
        <v>2799</v>
      </c>
      <c r="S342" s="83" t="s">
        <v>2712</v>
      </c>
      <c r="T342" s="83" t="s">
        <v>2703</v>
      </c>
      <c r="U342" s="83" t="s">
        <v>401</v>
      </c>
      <c r="AC342" s="83" t="s">
        <v>401</v>
      </c>
      <c r="AJ342" s="83">
        <v>1</v>
      </c>
      <c r="AK342" s="83">
        <v>1</v>
      </c>
      <c r="AL342" s="83">
        <v>49</v>
      </c>
      <c r="AM342" s="83" t="s">
        <v>2693</v>
      </c>
      <c r="BK342" s="83" t="s">
        <v>2694</v>
      </c>
      <c r="BL342" s="83" t="s">
        <v>2695</v>
      </c>
      <c r="BM342" s="83" t="s">
        <v>2693</v>
      </c>
      <c r="BN342" s="83" t="s">
        <v>2698</v>
      </c>
      <c r="BO342" s="83" t="s">
        <v>2697</v>
      </c>
      <c r="BP342" s="83" t="s">
        <v>2699</v>
      </c>
      <c r="BQ342" s="83" t="s">
        <v>2699</v>
      </c>
      <c r="BR342" s="83" t="s">
        <v>2693</v>
      </c>
      <c r="BS342" s="83" t="s">
        <v>2699</v>
      </c>
      <c r="BT342" s="83" t="s">
        <v>2696</v>
      </c>
      <c r="BU342" s="83" t="s">
        <v>2699</v>
      </c>
      <c r="BV342" s="83" t="s">
        <v>2697</v>
      </c>
      <c r="BW342" s="83" t="s">
        <v>2698</v>
      </c>
      <c r="BX342" s="83" t="s">
        <v>2696</v>
      </c>
      <c r="BY342" s="83" t="s">
        <v>2699</v>
      </c>
      <c r="BZ342" s="83" t="s">
        <v>2699</v>
      </c>
      <c r="CA342" s="83" t="s">
        <v>2693</v>
      </c>
      <c r="CB342" s="83" t="s">
        <v>2694</v>
      </c>
      <c r="CC342" s="83" t="s">
        <v>2699</v>
      </c>
      <c r="CD342" s="83" t="s">
        <v>2696</v>
      </c>
      <c r="CF342" s="83" t="s">
        <v>595</v>
      </c>
      <c r="CG342" s="83" t="s">
        <v>596</v>
      </c>
      <c r="CH342" s="83" t="s">
        <v>2725</v>
      </c>
      <c r="CI342" s="83" t="s">
        <v>1358</v>
      </c>
      <c r="CJ342" s="83" t="s">
        <v>2726</v>
      </c>
      <c r="CK342" s="144">
        <v>0</v>
      </c>
      <c r="CL342"/>
    </row>
    <row r="343" spans="1:90">
      <c r="A343" s="83" t="s">
        <v>3374</v>
      </c>
      <c r="B343" s="83" t="s">
        <v>2347</v>
      </c>
      <c r="D343" s="83" t="s">
        <v>688</v>
      </c>
      <c r="E343" s="83" t="s">
        <v>2348</v>
      </c>
      <c r="F343" s="83" t="s">
        <v>3375</v>
      </c>
      <c r="G343" s="83" t="s">
        <v>671</v>
      </c>
      <c r="H343" s="83" t="s">
        <v>566</v>
      </c>
      <c r="I343" s="83" t="s">
        <v>567</v>
      </c>
      <c r="J343" s="83" t="s">
        <v>564</v>
      </c>
      <c r="K343" s="83" t="s">
        <v>565</v>
      </c>
      <c r="L343" s="83" t="s">
        <v>398</v>
      </c>
      <c r="M343" s="83" t="s">
        <v>399</v>
      </c>
      <c r="N343" s="83" t="s">
        <v>2792</v>
      </c>
      <c r="O343" s="83" t="s">
        <v>106</v>
      </c>
      <c r="P343" s="83">
        <v>1</v>
      </c>
      <c r="Q343" s="83" t="s">
        <v>106</v>
      </c>
      <c r="R343" s="83" t="s">
        <v>2799</v>
      </c>
      <c r="S343" s="83" t="s">
        <v>2769</v>
      </c>
      <c r="T343" s="83" t="s">
        <v>2703</v>
      </c>
      <c r="U343" s="83" t="s">
        <v>401</v>
      </c>
      <c r="AC343" s="83" t="s">
        <v>401</v>
      </c>
      <c r="AJ343" s="83">
        <v>1</v>
      </c>
      <c r="AK343" s="83">
        <v>1</v>
      </c>
      <c r="AL343" s="83">
        <v>1344</v>
      </c>
      <c r="AM343" s="83" t="s">
        <v>2693</v>
      </c>
      <c r="BK343" s="83" t="s">
        <v>2694</v>
      </c>
      <c r="BL343" s="83" t="s">
        <v>2693</v>
      </c>
      <c r="BM343" s="83" t="s">
        <v>2698</v>
      </c>
      <c r="BN343" s="83" t="s">
        <v>2696</v>
      </c>
      <c r="BO343" s="83" t="s">
        <v>2697</v>
      </c>
      <c r="BP343" s="83" t="s">
        <v>2698</v>
      </c>
      <c r="BQ343" s="83" t="s">
        <v>2699</v>
      </c>
      <c r="BR343" s="83" t="s">
        <v>2693</v>
      </c>
      <c r="BS343" s="83" t="s">
        <v>2699</v>
      </c>
      <c r="BT343" s="83" t="s">
        <v>2696</v>
      </c>
      <c r="BU343" s="83" t="s">
        <v>2699</v>
      </c>
      <c r="BV343" s="83" t="s">
        <v>2697</v>
      </c>
      <c r="BW343" s="83" t="s">
        <v>2693</v>
      </c>
      <c r="BX343" s="83" t="s">
        <v>2696</v>
      </c>
      <c r="BY343" s="83" t="s">
        <v>2693</v>
      </c>
      <c r="BZ343" s="83" t="s">
        <v>2699</v>
      </c>
      <c r="CA343" s="83" t="s">
        <v>2693</v>
      </c>
      <c r="CB343" s="83" t="s">
        <v>2694</v>
      </c>
      <c r="CC343" s="83" t="s">
        <v>2696</v>
      </c>
      <c r="CD343" s="83" t="s">
        <v>2696</v>
      </c>
      <c r="CF343" s="83" t="s">
        <v>580</v>
      </c>
      <c r="CG343" s="83" t="s">
        <v>581</v>
      </c>
      <c r="CH343" s="83" t="s">
        <v>2699</v>
      </c>
      <c r="CI343" s="83" t="s">
        <v>2699</v>
      </c>
      <c r="CJ343" s="83" t="s">
        <v>2734</v>
      </c>
      <c r="CK343" s="144">
        <v>0</v>
      </c>
      <c r="CL343"/>
    </row>
    <row r="344" spans="1:90">
      <c r="A344" s="83" t="s">
        <v>2919</v>
      </c>
      <c r="B344" s="83" t="s">
        <v>2397</v>
      </c>
      <c r="D344" s="83" t="s">
        <v>688</v>
      </c>
      <c r="E344" s="83" t="s">
        <v>2398</v>
      </c>
      <c r="F344" s="83" t="s">
        <v>3377</v>
      </c>
      <c r="G344" s="83" t="s">
        <v>671</v>
      </c>
      <c r="H344" s="83" t="s">
        <v>1201</v>
      </c>
      <c r="I344" s="83" t="s">
        <v>1202</v>
      </c>
      <c r="J344" s="83" t="s">
        <v>1203</v>
      </c>
      <c r="K344" s="83" t="s">
        <v>565</v>
      </c>
      <c r="L344" s="83" t="s">
        <v>398</v>
      </c>
      <c r="M344" s="83" t="s">
        <v>399</v>
      </c>
      <c r="N344" s="83" t="s">
        <v>2792</v>
      </c>
      <c r="O344" s="83" t="s">
        <v>106</v>
      </c>
      <c r="P344" s="83">
        <v>9</v>
      </c>
      <c r="Q344" s="83" t="s">
        <v>106</v>
      </c>
      <c r="R344" s="83" t="s">
        <v>2799</v>
      </c>
      <c r="S344" s="83" t="s">
        <v>2746</v>
      </c>
      <c r="T344" s="83" t="s">
        <v>2703</v>
      </c>
      <c r="U344" s="83" t="s">
        <v>401</v>
      </c>
      <c r="AC344" s="83" t="s">
        <v>401</v>
      </c>
      <c r="AD344" s="83">
        <v>95000</v>
      </c>
      <c r="AF344" s="83">
        <v>56000</v>
      </c>
      <c r="AJ344" s="83">
        <v>1</v>
      </c>
      <c r="AK344" s="83">
        <v>1</v>
      </c>
      <c r="AL344" s="83">
        <v>3000</v>
      </c>
      <c r="AM344" s="83" t="s">
        <v>2693</v>
      </c>
      <c r="BK344" s="83" t="s">
        <v>2694</v>
      </c>
      <c r="BL344" s="83" t="s">
        <v>2693</v>
      </c>
      <c r="BM344" s="83" t="s">
        <v>2698</v>
      </c>
      <c r="BN344" s="83" t="s">
        <v>2698</v>
      </c>
      <c r="BO344" s="83" t="s">
        <v>2697</v>
      </c>
      <c r="BP344" s="83" t="s">
        <v>2697</v>
      </c>
      <c r="BQ344" s="83" t="s">
        <v>2699</v>
      </c>
      <c r="BR344" s="83" t="s">
        <v>2693</v>
      </c>
      <c r="BS344" s="83" t="s">
        <v>2699</v>
      </c>
      <c r="BT344" s="83" t="s">
        <v>2696</v>
      </c>
      <c r="BU344" s="83" t="s">
        <v>2699</v>
      </c>
      <c r="BV344" s="83" t="s">
        <v>2697</v>
      </c>
      <c r="BW344" s="83" t="s">
        <v>2693</v>
      </c>
      <c r="BX344" s="83" t="s">
        <v>2696</v>
      </c>
      <c r="BY344" s="83" t="s">
        <v>2699</v>
      </c>
      <c r="BZ344" s="83" t="s">
        <v>2699</v>
      </c>
      <c r="CA344" s="83" t="s">
        <v>2693</v>
      </c>
      <c r="CB344" s="83" t="s">
        <v>2694</v>
      </c>
      <c r="CC344" s="83" t="s">
        <v>2696</v>
      </c>
      <c r="CD344" s="83" t="s">
        <v>2696</v>
      </c>
      <c r="CF344" s="83" t="s">
        <v>618</v>
      </c>
      <c r="CG344" s="83" t="s">
        <v>710</v>
      </c>
      <c r="CH344" s="83" t="s">
        <v>2697</v>
      </c>
      <c r="CI344" s="83" t="s">
        <v>648</v>
      </c>
      <c r="CJ344" s="83" t="s">
        <v>2757</v>
      </c>
      <c r="CK344" s="144">
        <v>0</v>
      </c>
      <c r="CL344"/>
    </row>
    <row r="345" spans="1:90">
      <c r="A345" s="83" t="s">
        <v>3468</v>
      </c>
      <c r="B345" s="83" t="s">
        <v>2399</v>
      </c>
      <c r="D345" s="83" t="s">
        <v>688</v>
      </c>
      <c r="E345" s="83" t="s">
        <v>1054</v>
      </c>
      <c r="F345" s="83" t="s">
        <v>3381</v>
      </c>
      <c r="G345" s="83" t="s">
        <v>671</v>
      </c>
      <c r="H345" s="83" t="s">
        <v>1201</v>
      </c>
      <c r="I345" s="83" t="s">
        <v>1202</v>
      </c>
      <c r="J345" s="83" t="s">
        <v>1203</v>
      </c>
      <c r="K345" s="83" t="s">
        <v>565</v>
      </c>
      <c r="L345" s="83" t="s">
        <v>398</v>
      </c>
      <c r="M345" s="83" t="s">
        <v>399</v>
      </c>
      <c r="N345" s="83" t="s">
        <v>2792</v>
      </c>
      <c r="O345" s="83" t="s">
        <v>106</v>
      </c>
      <c r="P345" s="83">
        <v>5</v>
      </c>
      <c r="Q345" s="83" t="s">
        <v>106</v>
      </c>
      <c r="R345" s="83" t="s">
        <v>2799</v>
      </c>
      <c r="S345" s="83" t="s">
        <v>2714</v>
      </c>
      <c r="T345" s="83" t="s">
        <v>2703</v>
      </c>
      <c r="U345" s="83" t="s">
        <v>401</v>
      </c>
      <c r="AC345" s="83" t="s">
        <v>401</v>
      </c>
      <c r="AJ345" s="83">
        <v>1</v>
      </c>
      <c r="AK345" s="83">
        <v>1</v>
      </c>
      <c r="AL345" s="83">
        <v>108</v>
      </c>
      <c r="AM345" s="83" t="s">
        <v>2693</v>
      </c>
      <c r="BK345" s="83" t="s">
        <v>2694</v>
      </c>
      <c r="BL345" s="83" t="s">
        <v>2695</v>
      </c>
      <c r="BM345" s="83" t="s">
        <v>2693</v>
      </c>
      <c r="BN345" s="83" t="s">
        <v>2698</v>
      </c>
      <c r="BO345" s="83" t="s">
        <v>2697</v>
      </c>
      <c r="BP345" s="83" t="s">
        <v>2699</v>
      </c>
      <c r="BQ345" s="83" t="s">
        <v>2699</v>
      </c>
      <c r="BR345" s="83" t="s">
        <v>2693</v>
      </c>
      <c r="BS345" s="83" t="s">
        <v>2699</v>
      </c>
      <c r="BT345" s="83" t="s">
        <v>2696</v>
      </c>
      <c r="BU345" s="83" t="s">
        <v>2699</v>
      </c>
      <c r="BV345" s="83" t="s">
        <v>2697</v>
      </c>
      <c r="BW345" s="83" t="s">
        <v>2698</v>
      </c>
      <c r="BX345" s="83" t="s">
        <v>2696</v>
      </c>
      <c r="BY345" s="83" t="s">
        <v>2699</v>
      </c>
      <c r="BZ345" s="83" t="s">
        <v>2699</v>
      </c>
      <c r="CA345" s="83" t="s">
        <v>2693</v>
      </c>
      <c r="CB345" s="83" t="s">
        <v>2694</v>
      </c>
      <c r="CC345" s="83" t="s">
        <v>2696</v>
      </c>
      <c r="CD345" s="83" t="s">
        <v>2696</v>
      </c>
      <c r="CF345" s="83" t="s">
        <v>1055</v>
      </c>
      <c r="CG345" s="83" t="s">
        <v>1040</v>
      </c>
      <c r="CH345" s="83" t="s">
        <v>2725</v>
      </c>
      <c r="CI345" s="83" t="s">
        <v>1358</v>
      </c>
      <c r="CJ345" s="83" t="s">
        <v>2726</v>
      </c>
      <c r="CK345" s="144">
        <v>0</v>
      </c>
      <c r="CL345"/>
    </row>
    <row r="346" spans="1:90">
      <c r="A346" s="83" t="s">
        <v>2400</v>
      </c>
      <c r="B346" s="83" t="s">
        <v>2401</v>
      </c>
      <c r="D346" s="83" t="s">
        <v>688</v>
      </c>
      <c r="E346" s="83" t="s">
        <v>1039</v>
      </c>
      <c r="F346" s="83" t="s">
        <v>3375</v>
      </c>
      <c r="G346" s="83" t="s">
        <v>671</v>
      </c>
      <c r="H346" s="83" t="s">
        <v>1201</v>
      </c>
      <c r="I346" s="83" t="s">
        <v>1202</v>
      </c>
      <c r="J346" s="83" t="s">
        <v>1203</v>
      </c>
      <c r="K346" s="83" t="s">
        <v>565</v>
      </c>
      <c r="L346" s="83" t="s">
        <v>398</v>
      </c>
      <c r="M346" s="83" t="s">
        <v>399</v>
      </c>
      <c r="N346" s="83" t="s">
        <v>2792</v>
      </c>
      <c r="O346" s="83" t="s">
        <v>106</v>
      </c>
      <c r="P346" s="83">
        <v>1</v>
      </c>
      <c r="Q346" s="83" t="s">
        <v>106</v>
      </c>
      <c r="R346" s="83" t="s">
        <v>2799</v>
      </c>
      <c r="S346" s="83" t="s">
        <v>2769</v>
      </c>
      <c r="T346" s="83" t="s">
        <v>2703</v>
      </c>
      <c r="U346" s="83" t="s">
        <v>401</v>
      </c>
      <c r="AC346" s="83" t="s">
        <v>401</v>
      </c>
      <c r="AJ346" s="83">
        <v>1</v>
      </c>
      <c r="AK346" s="83">
        <v>1</v>
      </c>
      <c r="AL346" s="83">
        <v>672</v>
      </c>
      <c r="AM346" s="83" t="s">
        <v>2693</v>
      </c>
      <c r="BK346" s="83" t="s">
        <v>2694</v>
      </c>
      <c r="BL346" s="83" t="s">
        <v>2693</v>
      </c>
      <c r="BM346" s="83" t="s">
        <v>2698</v>
      </c>
      <c r="BN346" s="83" t="s">
        <v>2696</v>
      </c>
      <c r="BO346" s="83" t="s">
        <v>2697</v>
      </c>
      <c r="BP346" s="83" t="s">
        <v>2698</v>
      </c>
      <c r="BQ346" s="83" t="s">
        <v>2699</v>
      </c>
      <c r="BR346" s="83" t="s">
        <v>2693</v>
      </c>
      <c r="BS346" s="83" t="s">
        <v>2699</v>
      </c>
      <c r="BT346" s="83" t="s">
        <v>2696</v>
      </c>
      <c r="BU346" s="83" t="s">
        <v>2699</v>
      </c>
      <c r="BV346" s="83" t="s">
        <v>2697</v>
      </c>
      <c r="BW346" s="83" t="s">
        <v>2693</v>
      </c>
      <c r="BX346" s="83" t="s">
        <v>2696</v>
      </c>
      <c r="BY346" s="83" t="s">
        <v>2693</v>
      </c>
      <c r="BZ346" s="83" t="s">
        <v>2699</v>
      </c>
      <c r="CA346" s="83" t="s">
        <v>2693</v>
      </c>
      <c r="CB346" s="83" t="s">
        <v>2694</v>
      </c>
      <c r="CC346" s="83" t="s">
        <v>2696</v>
      </c>
      <c r="CD346" s="83" t="s">
        <v>2696</v>
      </c>
      <c r="CF346" s="83" t="s">
        <v>580</v>
      </c>
      <c r="CG346" s="83" t="s">
        <v>1040</v>
      </c>
      <c r="CH346" s="83" t="s">
        <v>2699</v>
      </c>
      <c r="CI346" s="83" t="s">
        <v>2699</v>
      </c>
      <c r="CJ346" s="83" t="s">
        <v>2734</v>
      </c>
      <c r="CK346" s="144">
        <v>0</v>
      </c>
      <c r="CL346"/>
    </row>
    <row r="347" spans="1:90">
      <c r="A347" s="83" t="s">
        <v>3072</v>
      </c>
      <c r="B347" s="83" t="s">
        <v>2577</v>
      </c>
      <c r="D347" s="83" t="s">
        <v>688</v>
      </c>
      <c r="E347" s="83" t="s">
        <v>2576</v>
      </c>
      <c r="F347" s="83" t="s">
        <v>3065</v>
      </c>
      <c r="G347" s="83" t="s">
        <v>2297</v>
      </c>
      <c r="H347" s="83" t="s">
        <v>1201</v>
      </c>
      <c r="I347" s="83" t="s">
        <v>1202</v>
      </c>
      <c r="J347" s="83" t="s">
        <v>1203</v>
      </c>
      <c r="K347" s="83" t="s">
        <v>565</v>
      </c>
      <c r="L347" s="83" t="s">
        <v>398</v>
      </c>
      <c r="M347" s="83" t="s">
        <v>399</v>
      </c>
      <c r="N347" s="83" t="s">
        <v>2711</v>
      </c>
      <c r="O347" s="83" t="s">
        <v>106</v>
      </c>
      <c r="P347" s="83">
        <v>5</v>
      </c>
      <c r="Q347" s="83" t="s">
        <v>106</v>
      </c>
      <c r="R347" s="83" t="s">
        <v>2727</v>
      </c>
      <c r="S347" s="83" t="s">
        <v>1464</v>
      </c>
      <c r="T347" s="83" t="s">
        <v>2843</v>
      </c>
      <c r="U347" s="83" t="s">
        <v>401</v>
      </c>
      <c r="AC347" s="83" t="s">
        <v>401</v>
      </c>
      <c r="AD347" s="83">
        <v>472000</v>
      </c>
      <c r="AF347" s="83">
        <v>133000</v>
      </c>
      <c r="AJ347" s="83">
        <v>1</v>
      </c>
      <c r="AK347" s="83">
        <v>1</v>
      </c>
      <c r="AL347" s="83">
        <v>5150</v>
      </c>
      <c r="AM347" s="83" t="s">
        <v>2693</v>
      </c>
      <c r="BK347" s="83" t="s">
        <v>2694</v>
      </c>
      <c r="BL347" s="83" t="s">
        <v>2697</v>
      </c>
      <c r="BM347" s="83" t="s">
        <v>2693</v>
      </c>
      <c r="BN347" s="83" t="s">
        <v>2698</v>
      </c>
      <c r="BO347" s="83" t="s">
        <v>2697</v>
      </c>
      <c r="BP347" s="83" t="s">
        <v>2698</v>
      </c>
      <c r="BQ347" s="83" t="s">
        <v>2699</v>
      </c>
      <c r="BR347" s="83" t="s">
        <v>2693</v>
      </c>
      <c r="BS347" s="83" t="s">
        <v>2699</v>
      </c>
      <c r="BT347" s="83" t="s">
        <v>2696</v>
      </c>
      <c r="BU347" s="83" t="s">
        <v>2699</v>
      </c>
      <c r="BV347" s="83" t="s">
        <v>2696</v>
      </c>
      <c r="BW347" s="83" t="s">
        <v>2698</v>
      </c>
      <c r="BX347" s="83" t="s">
        <v>2696</v>
      </c>
      <c r="BY347" s="83" t="s">
        <v>2699</v>
      </c>
      <c r="BZ347" s="83" t="s">
        <v>2693</v>
      </c>
      <c r="CA347" s="83" t="s">
        <v>2693</v>
      </c>
      <c r="CB347" s="83" t="s">
        <v>2694</v>
      </c>
      <c r="CC347" s="83" t="s">
        <v>2699</v>
      </c>
      <c r="CD347" s="83" t="s">
        <v>2696</v>
      </c>
      <c r="CF347" s="83" t="s">
        <v>3073</v>
      </c>
      <c r="CG347" s="83" t="s">
        <v>3074</v>
      </c>
      <c r="CH347" s="83" t="s">
        <v>2725</v>
      </c>
      <c r="CI347" s="83" t="s">
        <v>1358</v>
      </c>
      <c r="CJ347" s="83" t="s">
        <v>2722</v>
      </c>
      <c r="CK347" s="144">
        <v>1</v>
      </c>
      <c r="CL347"/>
    </row>
    <row r="348" spans="1:90">
      <c r="A348" s="83" t="s">
        <v>3469</v>
      </c>
      <c r="B348" s="83" t="s">
        <v>2402</v>
      </c>
      <c r="D348" s="83" t="s">
        <v>688</v>
      </c>
      <c r="E348" s="83" t="s">
        <v>3470</v>
      </c>
      <c r="F348" s="83" t="s">
        <v>3471</v>
      </c>
      <c r="G348" s="83" t="s">
        <v>1148</v>
      </c>
      <c r="H348" s="83" t="s">
        <v>1201</v>
      </c>
      <c r="I348" s="83" t="s">
        <v>1202</v>
      </c>
      <c r="J348" s="83" t="s">
        <v>1203</v>
      </c>
      <c r="K348" s="83" t="s">
        <v>565</v>
      </c>
      <c r="L348" s="83" t="s">
        <v>398</v>
      </c>
      <c r="M348" s="83" t="s">
        <v>399</v>
      </c>
      <c r="N348" s="83" t="s">
        <v>2792</v>
      </c>
      <c r="O348" s="83" t="s">
        <v>106</v>
      </c>
      <c r="P348" s="83">
        <v>8</v>
      </c>
      <c r="Q348" s="83" t="s">
        <v>106</v>
      </c>
      <c r="R348" s="83" t="s">
        <v>2799</v>
      </c>
      <c r="S348" s="83" t="s">
        <v>1451</v>
      </c>
      <c r="T348" s="83" t="s">
        <v>2703</v>
      </c>
      <c r="U348" s="83" t="s">
        <v>401</v>
      </c>
      <c r="AC348" s="83" t="s">
        <v>401</v>
      </c>
      <c r="AD348" s="83">
        <v>699000</v>
      </c>
      <c r="AF348" s="83">
        <v>187000</v>
      </c>
      <c r="AJ348" s="83">
        <v>1</v>
      </c>
      <c r="AK348" s="83">
        <v>1</v>
      </c>
      <c r="AL348" s="83">
        <v>9028</v>
      </c>
      <c r="AM348" s="83" t="s">
        <v>2693</v>
      </c>
      <c r="BK348" s="83" t="s">
        <v>2694</v>
      </c>
      <c r="BL348" s="83" t="s">
        <v>2697</v>
      </c>
      <c r="BM348" s="83" t="s">
        <v>2698</v>
      </c>
      <c r="BN348" s="83" t="s">
        <v>2698</v>
      </c>
      <c r="BO348" s="83" t="s">
        <v>2697</v>
      </c>
      <c r="BP348" s="83" t="s">
        <v>2697</v>
      </c>
      <c r="BQ348" s="83" t="s">
        <v>2699</v>
      </c>
      <c r="BR348" s="83" t="s">
        <v>2693</v>
      </c>
      <c r="BS348" s="83" t="s">
        <v>2699</v>
      </c>
      <c r="BT348" s="83" t="s">
        <v>2696</v>
      </c>
      <c r="BU348" s="83" t="s">
        <v>2699</v>
      </c>
      <c r="BV348" s="83" t="s">
        <v>2697</v>
      </c>
      <c r="BW348" s="83" t="s">
        <v>2698</v>
      </c>
      <c r="BX348" s="83" t="s">
        <v>2696</v>
      </c>
      <c r="BY348" s="83" t="s">
        <v>2699</v>
      </c>
      <c r="BZ348" s="83" t="s">
        <v>2699</v>
      </c>
      <c r="CA348" s="83" t="s">
        <v>2693</v>
      </c>
      <c r="CB348" s="83" t="s">
        <v>2694</v>
      </c>
      <c r="CC348" s="83" t="s">
        <v>2699</v>
      </c>
      <c r="CD348" s="83" t="s">
        <v>2696</v>
      </c>
      <c r="CF348" s="83" t="s">
        <v>1020</v>
      </c>
      <c r="CG348" s="83" t="s">
        <v>583</v>
      </c>
      <c r="CH348" s="83" t="s">
        <v>2695</v>
      </c>
      <c r="CI348" s="83" t="s">
        <v>648</v>
      </c>
      <c r="CJ348" s="83" t="s">
        <v>2780</v>
      </c>
      <c r="CK348" s="144">
        <v>2</v>
      </c>
      <c r="CL348" s="99">
        <v>16000</v>
      </c>
    </row>
    <row r="349" spans="1:90">
      <c r="A349" s="83" t="s">
        <v>3472</v>
      </c>
      <c r="B349" s="83" t="s">
        <v>2403</v>
      </c>
      <c r="D349" s="83" t="s">
        <v>688</v>
      </c>
      <c r="E349" s="83" t="s">
        <v>3473</v>
      </c>
      <c r="F349" s="83" t="s">
        <v>3471</v>
      </c>
      <c r="G349" s="83" t="s">
        <v>1148</v>
      </c>
      <c r="H349" s="83" t="s">
        <v>1201</v>
      </c>
      <c r="I349" s="83" t="s">
        <v>1202</v>
      </c>
      <c r="J349" s="83" t="s">
        <v>1203</v>
      </c>
      <c r="K349" s="83" t="s">
        <v>565</v>
      </c>
      <c r="L349" s="83" t="s">
        <v>398</v>
      </c>
      <c r="M349" s="83" t="s">
        <v>399</v>
      </c>
      <c r="N349" s="83" t="s">
        <v>2792</v>
      </c>
      <c r="O349" s="83" t="s">
        <v>106</v>
      </c>
      <c r="P349" s="83">
        <v>9</v>
      </c>
      <c r="Q349" s="83" t="s">
        <v>106</v>
      </c>
      <c r="R349" s="83" t="s">
        <v>2799</v>
      </c>
      <c r="S349" s="83" t="s">
        <v>1464</v>
      </c>
      <c r="T349" s="83" t="s">
        <v>2703</v>
      </c>
      <c r="U349" s="83" t="s">
        <v>401</v>
      </c>
      <c r="AC349" s="83" t="s">
        <v>401</v>
      </c>
      <c r="AD349" s="83">
        <v>172000</v>
      </c>
      <c r="AF349" s="83">
        <v>50000</v>
      </c>
      <c r="AJ349" s="83">
        <v>1</v>
      </c>
      <c r="AK349" s="83">
        <v>1</v>
      </c>
      <c r="AL349" s="83">
        <v>2656</v>
      </c>
      <c r="AM349" s="83" t="s">
        <v>2693</v>
      </c>
      <c r="BK349" s="83" t="s">
        <v>2694</v>
      </c>
      <c r="BL349" s="83" t="s">
        <v>2693</v>
      </c>
      <c r="BM349" s="83" t="s">
        <v>2698</v>
      </c>
      <c r="BN349" s="83" t="s">
        <v>2698</v>
      </c>
      <c r="BO349" s="83" t="s">
        <v>2697</v>
      </c>
      <c r="BP349" s="83" t="s">
        <v>2697</v>
      </c>
      <c r="BQ349" s="83" t="s">
        <v>2699</v>
      </c>
      <c r="BR349" s="83" t="s">
        <v>2693</v>
      </c>
      <c r="BS349" s="83" t="s">
        <v>2699</v>
      </c>
      <c r="BT349" s="83" t="s">
        <v>2696</v>
      </c>
      <c r="BU349" s="83" t="s">
        <v>2699</v>
      </c>
      <c r="BV349" s="83" t="s">
        <v>2697</v>
      </c>
      <c r="BW349" s="83" t="s">
        <v>2693</v>
      </c>
      <c r="BX349" s="83" t="s">
        <v>2696</v>
      </c>
      <c r="BY349" s="83" t="s">
        <v>2699</v>
      </c>
      <c r="BZ349" s="83" t="s">
        <v>2699</v>
      </c>
      <c r="CA349" s="83" t="s">
        <v>2693</v>
      </c>
      <c r="CB349" s="83" t="s">
        <v>2694</v>
      </c>
      <c r="CC349" s="83" t="s">
        <v>2696</v>
      </c>
      <c r="CD349" s="83" t="s">
        <v>2696</v>
      </c>
      <c r="CF349" s="83" t="s">
        <v>1023</v>
      </c>
      <c r="CG349" s="83" t="s">
        <v>1024</v>
      </c>
      <c r="CH349" s="83" t="s">
        <v>2697</v>
      </c>
      <c r="CI349" s="83" t="s">
        <v>648</v>
      </c>
      <c r="CJ349" s="83" t="s">
        <v>2757</v>
      </c>
      <c r="CK349" s="144">
        <v>0</v>
      </c>
      <c r="CL349"/>
    </row>
    <row r="350" spans="1:90">
      <c r="A350" s="83" t="s">
        <v>3474</v>
      </c>
      <c r="B350" s="83" t="s">
        <v>2404</v>
      </c>
      <c r="D350" s="83" t="s">
        <v>688</v>
      </c>
      <c r="E350" s="83" t="s">
        <v>3475</v>
      </c>
      <c r="F350" s="83" t="s">
        <v>3471</v>
      </c>
      <c r="G350" s="83" t="s">
        <v>1148</v>
      </c>
      <c r="H350" s="83" t="s">
        <v>1201</v>
      </c>
      <c r="I350" s="83" t="s">
        <v>1202</v>
      </c>
      <c r="J350" s="83" t="s">
        <v>1203</v>
      </c>
      <c r="K350" s="83" t="s">
        <v>565</v>
      </c>
      <c r="L350" s="83" t="s">
        <v>398</v>
      </c>
      <c r="M350" s="83" t="s">
        <v>399</v>
      </c>
      <c r="N350" s="83" t="s">
        <v>2792</v>
      </c>
      <c r="O350" s="83" t="s">
        <v>106</v>
      </c>
      <c r="P350" s="83">
        <v>4</v>
      </c>
      <c r="Q350" s="83" t="s">
        <v>106</v>
      </c>
      <c r="R350" s="83" t="s">
        <v>2799</v>
      </c>
      <c r="S350" s="83" t="s">
        <v>1451</v>
      </c>
      <c r="T350" s="83" t="s">
        <v>2703</v>
      </c>
      <c r="U350" s="83" t="s">
        <v>401</v>
      </c>
      <c r="AC350" s="83" t="s">
        <v>401</v>
      </c>
      <c r="AD350" s="83">
        <v>143000</v>
      </c>
      <c r="AF350" s="83">
        <v>48000</v>
      </c>
      <c r="AJ350" s="83">
        <v>1</v>
      </c>
      <c r="AK350" s="83">
        <v>1</v>
      </c>
      <c r="AL350" s="83">
        <v>1850</v>
      </c>
      <c r="AM350" s="83" t="s">
        <v>2693</v>
      </c>
      <c r="BK350" s="83" t="s">
        <v>2694</v>
      </c>
      <c r="BL350" s="83" t="s">
        <v>2704</v>
      </c>
      <c r="BM350" s="83" t="s">
        <v>2697</v>
      </c>
      <c r="BN350" s="83" t="s">
        <v>2698</v>
      </c>
      <c r="BO350" s="83" t="s">
        <v>2697</v>
      </c>
      <c r="BP350" s="83" t="s">
        <v>2695</v>
      </c>
      <c r="BQ350" s="83" t="s">
        <v>2699</v>
      </c>
      <c r="BR350" s="83" t="s">
        <v>2693</v>
      </c>
      <c r="BS350" s="83" t="s">
        <v>2699</v>
      </c>
      <c r="BT350" s="83" t="s">
        <v>2696</v>
      </c>
      <c r="BU350" s="83" t="s">
        <v>2699</v>
      </c>
      <c r="BV350" s="83" t="s">
        <v>2697</v>
      </c>
      <c r="BW350" s="83" t="s">
        <v>2698</v>
      </c>
      <c r="BX350" s="83" t="s">
        <v>2696</v>
      </c>
      <c r="BY350" s="83" t="s">
        <v>2699</v>
      </c>
      <c r="BZ350" s="83" t="s">
        <v>2699</v>
      </c>
      <c r="CA350" s="83" t="s">
        <v>2693</v>
      </c>
      <c r="CB350" s="83" t="s">
        <v>2694</v>
      </c>
      <c r="CC350" s="83" t="s">
        <v>2696</v>
      </c>
      <c r="CD350" s="83" t="s">
        <v>2696</v>
      </c>
      <c r="CF350" s="83" t="s">
        <v>1031</v>
      </c>
      <c r="CG350" s="83" t="s">
        <v>1032</v>
      </c>
      <c r="CH350" s="83" t="s">
        <v>2693</v>
      </c>
      <c r="CI350" s="83" t="s">
        <v>3992</v>
      </c>
      <c r="CJ350" s="83" t="s">
        <v>2701</v>
      </c>
      <c r="CK350" s="144">
        <v>0</v>
      </c>
      <c r="CL350"/>
    </row>
    <row r="351" spans="1:90">
      <c r="A351" s="83" t="s">
        <v>3476</v>
      </c>
      <c r="B351" s="83" t="s">
        <v>2405</v>
      </c>
      <c r="D351" s="83" t="s">
        <v>688</v>
      </c>
      <c r="E351" s="83" t="s">
        <v>3477</v>
      </c>
      <c r="F351" s="83" t="s">
        <v>3471</v>
      </c>
      <c r="G351" s="83" t="s">
        <v>1148</v>
      </c>
      <c r="H351" s="83" t="s">
        <v>1201</v>
      </c>
      <c r="I351" s="83" t="s">
        <v>1202</v>
      </c>
      <c r="J351" s="83" t="s">
        <v>1203</v>
      </c>
      <c r="K351" s="83" t="s">
        <v>565</v>
      </c>
      <c r="L351" s="83" t="s">
        <v>398</v>
      </c>
      <c r="M351" s="83" t="s">
        <v>399</v>
      </c>
      <c r="N351" s="83" t="s">
        <v>2792</v>
      </c>
      <c r="O351" s="83" t="s">
        <v>106</v>
      </c>
      <c r="P351" s="83">
        <v>1</v>
      </c>
      <c r="Q351" s="83" t="s">
        <v>106</v>
      </c>
      <c r="R351" s="83" t="s">
        <v>2799</v>
      </c>
      <c r="S351" s="83" t="s">
        <v>1464</v>
      </c>
      <c r="T351" s="83" t="s">
        <v>2703</v>
      </c>
      <c r="U351" s="83" t="s">
        <v>401</v>
      </c>
      <c r="AC351" s="83" t="s">
        <v>401</v>
      </c>
      <c r="AD351" s="83">
        <v>46000</v>
      </c>
      <c r="AF351" s="83">
        <v>22000</v>
      </c>
      <c r="AJ351" s="83">
        <v>1</v>
      </c>
      <c r="AK351" s="83">
        <v>1</v>
      </c>
      <c r="AL351" s="83">
        <v>1736</v>
      </c>
      <c r="AM351" s="83" t="s">
        <v>2693</v>
      </c>
      <c r="BK351" s="83" t="s">
        <v>2694</v>
      </c>
      <c r="BL351" s="83" t="s">
        <v>2693</v>
      </c>
      <c r="BM351" s="83" t="s">
        <v>2698</v>
      </c>
      <c r="BN351" s="83" t="s">
        <v>2696</v>
      </c>
      <c r="BO351" s="83" t="s">
        <v>2697</v>
      </c>
      <c r="BP351" s="83" t="s">
        <v>2698</v>
      </c>
      <c r="BQ351" s="83" t="s">
        <v>2699</v>
      </c>
      <c r="BR351" s="83" t="s">
        <v>2693</v>
      </c>
      <c r="BS351" s="83" t="s">
        <v>2699</v>
      </c>
      <c r="BT351" s="83" t="s">
        <v>2696</v>
      </c>
      <c r="BU351" s="83" t="s">
        <v>2699</v>
      </c>
      <c r="BV351" s="83" t="s">
        <v>2697</v>
      </c>
      <c r="BW351" s="83" t="s">
        <v>2697</v>
      </c>
      <c r="BX351" s="83" t="s">
        <v>2696</v>
      </c>
      <c r="BY351" s="83" t="s">
        <v>2699</v>
      </c>
      <c r="BZ351" s="83" t="s">
        <v>2699</v>
      </c>
      <c r="CA351" s="83" t="s">
        <v>2693</v>
      </c>
      <c r="CB351" s="83" t="s">
        <v>2694</v>
      </c>
      <c r="CC351" s="83" t="s">
        <v>2696</v>
      </c>
      <c r="CD351" s="83" t="s">
        <v>2696</v>
      </c>
      <c r="CF351" s="83" t="s">
        <v>1029</v>
      </c>
      <c r="CG351" s="83" t="s">
        <v>1030</v>
      </c>
      <c r="CH351" s="83" t="s">
        <v>2699</v>
      </c>
      <c r="CI351" s="83" t="s">
        <v>2699</v>
      </c>
      <c r="CJ351" s="83" t="s">
        <v>2734</v>
      </c>
      <c r="CK351" s="144">
        <v>0</v>
      </c>
      <c r="CL351"/>
    </row>
    <row r="352" spans="1:90">
      <c r="A352" s="83" t="s">
        <v>3478</v>
      </c>
      <c r="B352" s="83" t="s">
        <v>2406</v>
      </c>
      <c r="D352" s="83" t="s">
        <v>688</v>
      </c>
      <c r="E352" s="83" t="s">
        <v>2407</v>
      </c>
      <c r="F352" s="83" t="s">
        <v>3471</v>
      </c>
      <c r="G352" s="83" t="s">
        <v>1148</v>
      </c>
      <c r="H352" s="83" t="s">
        <v>1201</v>
      </c>
      <c r="I352" s="83" t="s">
        <v>1202</v>
      </c>
      <c r="J352" s="83" t="s">
        <v>1203</v>
      </c>
      <c r="K352" s="83" t="s">
        <v>565</v>
      </c>
      <c r="L352" s="83" t="s">
        <v>398</v>
      </c>
      <c r="M352" s="83" t="s">
        <v>399</v>
      </c>
      <c r="N352" s="83" t="s">
        <v>2792</v>
      </c>
      <c r="O352" s="83" t="s">
        <v>106</v>
      </c>
      <c r="P352" s="83">
        <v>1</v>
      </c>
      <c r="Q352" s="83" t="s">
        <v>106</v>
      </c>
      <c r="R352" s="83" t="s">
        <v>2799</v>
      </c>
      <c r="S352" s="83" t="s">
        <v>1464</v>
      </c>
      <c r="T352" s="83" t="s">
        <v>2703</v>
      </c>
      <c r="U352" s="83" t="s">
        <v>401</v>
      </c>
      <c r="AC352" s="83" t="s">
        <v>401</v>
      </c>
      <c r="AD352" s="83">
        <v>18000</v>
      </c>
      <c r="AF352" s="83">
        <v>5000</v>
      </c>
      <c r="AJ352" s="83">
        <v>1</v>
      </c>
      <c r="AK352" s="83">
        <v>1</v>
      </c>
      <c r="AL352" s="83">
        <v>420</v>
      </c>
      <c r="AM352" s="83" t="s">
        <v>2693</v>
      </c>
      <c r="BK352" s="83" t="s">
        <v>2694</v>
      </c>
      <c r="BL352" s="83" t="s">
        <v>2704</v>
      </c>
      <c r="BM352" s="83" t="s">
        <v>2698</v>
      </c>
      <c r="BN352" s="83" t="s">
        <v>2696</v>
      </c>
      <c r="BO352" s="83" t="s">
        <v>2697</v>
      </c>
      <c r="BP352" s="83" t="s">
        <v>2698</v>
      </c>
      <c r="BQ352" s="83" t="s">
        <v>2699</v>
      </c>
      <c r="BR352" s="83" t="s">
        <v>2693</v>
      </c>
      <c r="BS352" s="83" t="s">
        <v>2699</v>
      </c>
      <c r="BT352" s="83" t="s">
        <v>2696</v>
      </c>
      <c r="BU352" s="83" t="s">
        <v>2699</v>
      </c>
      <c r="BV352" s="83" t="s">
        <v>2697</v>
      </c>
      <c r="BW352" s="83" t="s">
        <v>2697</v>
      </c>
      <c r="BX352" s="83" t="s">
        <v>2696</v>
      </c>
      <c r="BY352" s="83" t="s">
        <v>2699</v>
      </c>
      <c r="BZ352" s="83" t="s">
        <v>2699</v>
      </c>
      <c r="CA352" s="83" t="s">
        <v>2693</v>
      </c>
      <c r="CB352" s="83" t="s">
        <v>2694</v>
      </c>
      <c r="CC352" s="83" t="s">
        <v>2696</v>
      </c>
      <c r="CD352" s="83" t="s">
        <v>2696</v>
      </c>
      <c r="CF352" s="83" t="s">
        <v>1020</v>
      </c>
      <c r="CG352" s="83" t="s">
        <v>1041</v>
      </c>
      <c r="CH352" s="83" t="s">
        <v>2699</v>
      </c>
      <c r="CI352" s="83" t="s">
        <v>2699</v>
      </c>
      <c r="CJ352" s="83" t="s">
        <v>2734</v>
      </c>
      <c r="CK352" s="144">
        <v>0</v>
      </c>
      <c r="CL352"/>
    </row>
    <row r="353" spans="1:90">
      <c r="A353" s="83" t="s">
        <v>3479</v>
      </c>
      <c r="B353" s="83" t="s">
        <v>2408</v>
      </c>
      <c r="D353" s="83" t="s">
        <v>688</v>
      </c>
      <c r="E353" s="83" t="s">
        <v>2409</v>
      </c>
      <c r="F353" s="83" t="s">
        <v>3471</v>
      </c>
      <c r="G353" s="83" t="s">
        <v>1148</v>
      </c>
      <c r="H353" s="83" t="s">
        <v>1201</v>
      </c>
      <c r="I353" s="83" t="s">
        <v>1202</v>
      </c>
      <c r="J353" s="83" t="s">
        <v>1203</v>
      </c>
      <c r="K353" s="83" t="s">
        <v>565</v>
      </c>
      <c r="L353" s="83" t="s">
        <v>398</v>
      </c>
      <c r="M353" s="83" t="s">
        <v>399</v>
      </c>
      <c r="N353" s="83" t="s">
        <v>2792</v>
      </c>
      <c r="O353" s="83" t="s">
        <v>106</v>
      </c>
      <c r="P353" s="83">
        <v>9</v>
      </c>
      <c r="Q353" s="83" t="s">
        <v>106</v>
      </c>
      <c r="R353" s="83" t="s">
        <v>2799</v>
      </c>
      <c r="S353" s="83" t="s">
        <v>2720</v>
      </c>
      <c r="T353" s="83" t="s">
        <v>2703</v>
      </c>
      <c r="U353" s="83" t="s">
        <v>401</v>
      </c>
      <c r="AC353" s="83" t="s">
        <v>401</v>
      </c>
      <c r="AJ353" s="83">
        <v>1</v>
      </c>
      <c r="AK353" s="83">
        <v>1</v>
      </c>
      <c r="AL353" s="83">
        <v>380</v>
      </c>
      <c r="AM353" s="83" t="s">
        <v>2693</v>
      </c>
      <c r="BK353" s="83" t="s">
        <v>2694</v>
      </c>
      <c r="BL353" s="83" t="s">
        <v>2693</v>
      </c>
      <c r="BM353" s="83" t="s">
        <v>2693</v>
      </c>
      <c r="BN353" s="83" t="s">
        <v>2698</v>
      </c>
      <c r="BO353" s="83" t="s">
        <v>2697</v>
      </c>
      <c r="BP353" s="83" t="s">
        <v>2697</v>
      </c>
      <c r="BQ353" s="83" t="s">
        <v>2699</v>
      </c>
      <c r="BR353" s="83" t="s">
        <v>2693</v>
      </c>
      <c r="BS353" s="83" t="s">
        <v>2699</v>
      </c>
      <c r="BT353" s="83" t="s">
        <v>2696</v>
      </c>
      <c r="BU353" s="83" t="s">
        <v>2699</v>
      </c>
      <c r="BV353" s="83" t="s">
        <v>2697</v>
      </c>
      <c r="BW353" s="83" t="s">
        <v>2693</v>
      </c>
      <c r="BX353" s="83" t="s">
        <v>2696</v>
      </c>
      <c r="BY353" s="83" t="s">
        <v>2693</v>
      </c>
      <c r="BZ353" s="83" t="s">
        <v>2699</v>
      </c>
      <c r="CA353" s="83" t="s">
        <v>2693</v>
      </c>
      <c r="CB353" s="83" t="s">
        <v>2694</v>
      </c>
      <c r="CC353" s="83" t="s">
        <v>2696</v>
      </c>
      <c r="CD353" s="83" t="s">
        <v>2696</v>
      </c>
      <c r="CF353" s="83" t="s">
        <v>1045</v>
      </c>
      <c r="CG353" s="83" t="s">
        <v>1046</v>
      </c>
      <c r="CH353" s="83" t="s">
        <v>2697</v>
      </c>
      <c r="CI353" s="83" t="s">
        <v>648</v>
      </c>
      <c r="CJ353" s="83" t="s">
        <v>2757</v>
      </c>
      <c r="CK353" s="144">
        <v>0</v>
      </c>
      <c r="CL353"/>
    </row>
    <row r="354" spans="1:90">
      <c r="A354" s="83" t="s">
        <v>1569</v>
      </c>
      <c r="B354" s="83" t="s">
        <v>750</v>
      </c>
      <c r="D354" s="83" t="s">
        <v>688</v>
      </c>
      <c r="E354" s="83" t="s">
        <v>1678</v>
      </c>
      <c r="F354" s="83" t="s">
        <v>1767</v>
      </c>
      <c r="G354" s="83" t="s">
        <v>1869</v>
      </c>
      <c r="H354" s="83" t="s">
        <v>1201</v>
      </c>
      <c r="I354" s="83" t="s">
        <v>1202</v>
      </c>
      <c r="J354" s="83" t="s">
        <v>1203</v>
      </c>
      <c r="K354" s="83" t="s">
        <v>565</v>
      </c>
      <c r="L354" s="83" t="s">
        <v>398</v>
      </c>
      <c r="M354" s="83" t="s">
        <v>399</v>
      </c>
      <c r="N354" s="83" t="s">
        <v>2719</v>
      </c>
      <c r="O354" s="83" t="s">
        <v>106</v>
      </c>
      <c r="P354" s="83">
        <v>1</v>
      </c>
      <c r="Q354" s="83" t="s">
        <v>106</v>
      </c>
      <c r="R354" s="83" t="s">
        <v>2727</v>
      </c>
      <c r="S354" s="83" t="s">
        <v>2712</v>
      </c>
      <c r="T354" s="83" t="s">
        <v>2703</v>
      </c>
      <c r="U354" s="83" t="s">
        <v>401</v>
      </c>
      <c r="AC354" s="83" t="s">
        <v>401</v>
      </c>
      <c r="AD354" s="83">
        <v>4000</v>
      </c>
      <c r="AF354" s="83">
        <v>35000</v>
      </c>
      <c r="AJ354" s="83">
        <v>1</v>
      </c>
      <c r="AK354" s="83">
        <v>1</v>
      </c>
      <c r="AL354" s="83">
        <v>80</v>
      </c>
      <c r="AM354" s="83" t="s">
        <v>2693</v>
      </c>
      <c r="BK354" s="83" t="s">
        <v>2696</v>
      </c>
      <c r="BL354" s="83" t="s">
        <v>2699</v>
      </c>
      <c r="BM354" s="83" t="s">
        <v>2693</v>
      </c>
      <c r="BN354" s="83" t="s">
        <v>2696</v>
      </c>
      <c r="BO354" s="83" t="s">
        <v>2695</v>
      </c>
      <c r="BP354" s="83" t="s">
        <v>2695</v>
      </c>
      <c r="BQ354" s="83" t="s">
        <v>2693</v>
      </c>
      <c r="BR354" s="83" t="s">
        <v>2693</v>
      </c>
      <c r="BS354" s="83" t="s">
        <v>2699</v>
      </c>
      <c r="BT354" s="83">
        <v>0</v>
      </c>
      <c r="BU354" s="83" t="s">
        <v>2699</v>
      </c>
      <c r="BV354" s="83" t="s">
        <v>2696</v>
      </c>
      <c r="BW354" s="83" t="s">
        <v>2693</v>
      </c>
      <c r="BX354" s="83" t="s">
        <v>2696</v>
      </c>
      <c r="BY354" s="83" t="s">
        <v>2693</v>
      </c>
      <c r="BZ354" s="83" t="s">
        <v>2699</v>
      </c>
      <c r="CA354" s="83" t="s">
        <v>2693</v>
      </c>
      <c r="CB354" s="83" t="s">
        <v>2694</v>
      </c>
      <c r="CC354" s="83" t="s">
        <v>2696</v>
      </c>
      <c r="CD354" s="83" t="s">
        <v>2696</v>
      </c>
      <c r="CF354" s="83" t="s">
        <v>2100</v>
      </c>
      <c r="CG354" s="83" t="s">
        <v>2101</v>
      </c>
      <c r="CH354" s="83" t="s">
        <v>2699</v>
      </c>
      <c r="CI354" s="83">
        <v>1</v>
      </c>
      <c r="CJ354" s="83" t="s">
        <v>2734</v>
      </c>
      <c r="CK354" s="144">
        <v>0</v>
      </c>
      <c r="CL354"/>
    </row>
    <row r="355" spans="1:90">
      <c r="A355" s="83" t="s">
        <v>2924</v>
      </c>
      <c r="B355" s="83" t="s">
        <v>2503</v>
      </c>
      <c r="D355" s="83" t="s">
        <v>688</v>
      </c>
      <c r="E355" s="83" t="s">
        <v>2387</v>
      </c>
      <c r="F355" s="83" t="s">
        <v>2925</v>
      </c>
      <c r="G355" s="83" t="s">
        <v>2273</v>
      </c>
      <c r="H355" s="83" t="s">
        <v>1201</v>
      </c>
      <c r="I355" s="83" t="s">
        <v>1202</v>
      </c>
      <c r="J355" s="83" t="s">
        <v>1203</v>
      </c>
      <c r="K355" s="83" t="s">
        <v>565</v>
      </c>
      <c r="L355" s="83" t="s">
        <v>398</v>
      </c>
      <c r="M355" s="83" t="s">
        <v>399</v>
      </c>
      <c r="N355" s="83" t="s">
        <v>2899</v>
      </c>
      <c r="O355" s="83" t="s">
        <v>106</v>
      </c>
      <c r="P355" s="83">
        <v>4</v>
      </c>
      <c r="Q355" s="83" t="s">
        <v>106</v>
      </c>
      <c r="R355" s="83" t="s">
        <v>2727</v>
      </c>
      <c r="S355" s="83" t="s">
        <v>2793</v>
      </c>
      <c r="T355" s="83" t="s">
        <v>2843</v>
      </c>
      <c r="U355" s="83" t="s">
        <v>401</v>
      </c>
      <c r="AC355" s="83" t="s">
        <v>401</v>
      </c>
      <c r="AD355" s="83">
        <v>69000</v>
      </c>
      <c r="AF355" s="83">
        <v>2000</v>
      </c>
      <c r="AJ355" s="83">
        <v>1</v>
      </c>
      <c r="AK355" s="83">
        <v>1</v>
      </c>
      <c r="AL355" s="83">
        <v>576</v>
      </c>
      <c r="AM355" s="83" t="s">
        <v>2693</v>
      </c>
      <c r="BK355" s="83" t="s">
        <v>2694</v>
      </c>
      <c r="BL355" s="83" t="s">
        <v>2704</v>
      </c>
      <c r="BM355" s="83" t="s">
        <v>2698</v>
      </c>
      <c r="BN355" s="83" t="s">
        <v>2698</v>
      </c>
      <c r="BO355" s="83" t="s">
        <v>2697</v>
      </c>
      <c r="BP355" s="83" t="s">
        <v>2698</v>
      </c>
      <c r="BQ355" s="83" t="s">
        <v>2699</v>
      </c>
      <c r="BR355" s="83" t="s">
        <v>2693</v>
      </c>
      <c r="BS355" s="83" t="s">
        <v>2699</v>
      </c>
      <c r="BT355" s="83" t="s">
        <v>2696</v>
      </c>
      <c r="BU355" s="83" t="s">
        <v>2699</v>
      </c>
      <c r="BV355" s="83" t="s">
        <v>2696</v>
      </c>
      <c r="BW355" s="83" t="s">
        <v>2698</v>
      </c>
      <c r="BX355" s="83" t="s">
        <v>2696</v>
      </c>
      <c r="BY355" s="83" t="s">
        <v>2699</v>
      </c>
      <c r="BZ355" s="83" t="s">
        <v>2693</v>
      </c>
      <c r="CA355" s="83" t="s">
        <v>2693</v>
      </c>
      <c r="CB355" s="83" t="s">
        <v>2694</v>
      </c>
      <c r="CC355" s="83" t="s">
        <v>2699</v>
      </c>
      <c r="CD355" s="83" t="s">
        <v>2696</v>
      </c>
      <c r="CF355" s="83" t="s">
        <v>2926</v>
      </c>
      <c r="CG355" s="83" t="s">
        <v>2214</v>
      </c>
      <c r="CH355" s="83" t="s">
        <v>2693</v>
      </c>
      <c r="CI355" s="83" t="s">
        <v>3992</v>
      </c>
      <c r="CJ355" s="83" t="s">
        <v>2701</v>
      </c>
      <c r="CK355" s="144">
        <v>0</v>
      </c>
      <c r="CL355" s="99">
        <v>305000</v>
      </c>
    </row>
    <row r="356" spans="1:90">
      <c r="A356" s="83" t="s">
        <v>3305</v>
      </c>
      <c r="B356" s="83" t="s">
        <v>996</v>
      </c>
      <c r="D356" s="83" t="s">
        <v>688</v>
      </c>
      <c r="E356" s="83" t="s">
        <v>2611</v>
      </c>
      <c r="F356" s="83" t="s">
        <v>3306</v>
      </c>
      <c r="G356" s="83" t="s">
        <v>1324</v>
      </c>
      <c r="H356" s="83" t="s">
        <v>1201</v>
      </c>
      <c r="I356" s="83" t="s">
        <v>1202</v>
      </c>
      <c r="J356" s="83" t="s">
        <v>1203</v>
      </c>
      <c r="K356" s="83" t="s">
        <v>565</v>
      </c>
      <c r="L356" s="83" t="s">
        <v>398</v>
      </c>
      <c r="M356" s="83" t="s">
        <v>399</v>
      </c>
      <c r="N356" s="83" t="s">
        <v>3277</v>
      </c>
      <c r="O356" s="83" t="s">
        <v>106</v>
      </c>
      <c r="P356" s="83">
        <v>4</v>
      </c>
      <c r="Q356" s="83" t="s">
        <v>106</v>
      </c>
      <c r="R356" s="83" t="s">
        <v>2727</v>
      </c>
      <c r="S356" s="83" t="s">
        <v>1444</v>
      </c>
      <c r="T356" s="83" t="s">
        <v>2843</v>
      </c>
      <c r="U356" s="83" t="s">
        <v>401</v>
      </c>
      <c r="AC356" s="83" t="s">
        <v>401</v>
      </c>
      <c r="AD356" s="83">
        <v>115000</v>
      </c>
      <c r="AF356" s="83">
        <v>3000</v>
      </c>
      <c r="AJ356" s="83">
        <v>1</v>
      </c>
      <c r="AK356" s="83">
        <v>1</v>
      </c>
      <c r="AL356" s="83">
        <v>836</v>
      </c>
      <c r="AM356" s="83" t="s">
        <v>2693</v>
      </c>
      <c r="BK356" s="83" t="s">
        <v>2694</v>
      </c>
      <c r="BL356" s="83" t="s">
        <v>2693</v>
      </c>
      <c r="BM356" s="83" t="s">
        <v>2698</v>
      </c>
      <c r="BN356" s="83" t="s">
        <v>2698</v>
      </c>
      <c r="BO356" s="83" t="s">
        <v>2697</v>
      </c>
      <c r="BP356" s="83" t="s">
        <v>2698</v>
      </c>
      <c r="BQ356" s="83" t="s">
        <v>2699</v>
      </c>
      <c r="BR356" s="83" t="s">
        <v>2693</v>
      </c>
      <c r="BS356" s="83" t="s">
        <v>2699</v>
      </c>
      <c r="BT356" s="83" t="s">
        <v>2696</v>
      </c>
      <c r="BU356" s="83" t="s">
        <v>2699</v>
      </c>
      <c r="BV356" s="83" t="s">
        <v>2696</v>
      </c>
      <c r="BW356" s="83" t="s">
        <v>2698</v>
      </c>
      <c r="BX356" s="83" t="s">
        <v>2696</v>
      </c>
      <c r="BY356" s="83" t="s">
        <v>2699</v>
      </c>
      <c r="BZ356" s="83" t="s">
        <v>2693</v>
      </c>
      <c r="CA356" s="83" t="s">
        <v>2693</v>
      </c>
      <c r="CB356" s="83" t="s">
        <v>2694</v>
      </c>
      <c r="CC356" s="83" t="s">
        <v>2699</v>
      </c>
      <c r="CD356" s="83" t="s">
        <v>2696</v>
      </c>
      <c r="CF356" s="83" t="s">
        <v>3307</v>
      </c>
      <c r="CG356" s="83" t="s">
        <v>3308</v>
      </c>
      <c r="CH356" s="83" t="s">
        <v>2693</v>
      </c>
      <c r="CI356" s="83" t="s">
        <v>3992</v>
      </c>
      <c r="CJ356" s="83" t="s">
        <v>2701</v>
      </c>
      <c r="CK356" s="144">
        <v>0</v>
      </c>
      <c r="CL356" s="99">
        <v>834000</v>
      </c>
    </row>
    <row r="357" spans="1:90">
      <c r="A357" s="83" t="s">
        <v>3305</v>
      </c>
      <c r="B357" s="83" t="s">
        <v>996</v>
      </c>
      <c r="D357" s="83" t="s">
        <v>673</v>
      </c>
      <c r="E357" s="83" t="s">
        <v>2628</v>
      </c>
      <c r="F357" s="83" t="s">
        <v>3306</v>
      </c>
      <c r="G357" s="83" t="s">
        <v>1324</v>
      </c>
      <c r="H357" s="83" t="s">
        <v>1201</v>
      </c>
      <c r="I357" s="83" t="s">
        <v>1202</v>
      </c>
      <c r="J357" s="83" t="s">
        <v>1203</v>
      </c>
      <c r="K357" s="83" t="s">
        <v>565</v>
      </c>
      <c r="L357" s="83" t="s">
        <v>398</v>
      </c>
      <c r="M357" s="83" t="s">
        <v>399</v>
      </c>
      <c r="N357" s="83" t="s">
        <v>3277</v>
      </c>
      <c r="O357" s="83" t="s">
        <v>106</v>
      </c>
      <c r="P357" s="83">
        <v>4</v>
      </c>
      <c r="Q357" s="83" t="s">
        <v>106</v>
      </c>
      <c r="R357" s="83" t="s">
        <v>2727</v>
      </c>
      <c r="S357" s="83" t="s">
        <v>1444</v>
      </c>
      <c r="T357" s="83" t="s">
        <v>2843</v>
      </c>
      <c r="U357" s="83" t="s">
        <v>401</v>
      </c>
      <c r="AC357" s="83" t="s">
        <v>401</v>
      </c>
      <c r="AD357" s="83">
        <v>96000</v>
      </c>
      <c r="AF357" s="83">
        <v>3000</v>
      </c>
      <c r="AJ357" s="83">
        <v>1</v>
      </c>
      <c r="AK357" s="83">
        <v>1</v>
      </c>
      <c r="AL357" s="83">
        <v>900</v>
      </c>
      <c r="AM357" s="83" t="s">
        <v>2693</v>
      </c>
      <c r="BK357" s="83" t="s">
        <v>2694</v>
      </c>
      <c r="BL357" s="83" t="s">
        <v>2697</v>
      </c>
      <c r="BM357" s="83" t="s">
        <v>2697</v>
      </c>
      <c r="BN357" s="83" t="s">
        <v>2698</v>
      </c>
      <c r="BO357" s="83" t="s">
        <v>2697</v>
      </c>
      <c r="BP357" s="83" t="s">
        <v>2698</v>
      </c>
      <c r="BQ357" s="83" t="s">
        <v>2699</v>
      </c>
      <c r="BR357" s="83" t="s">
        <v>2693</v>
      </c>
      <c r="BS357" s="83" t="s">
        <v>2699</v>
      </c>
      <c r="BT357" s="83" t="s">
        <v>2696</v>
      </c>
      <c r="BU357" s="83" t="s">
        <v>2699</v>
      </c>
      <c r="BV357" s="83" t="s">
        <v>2696</v>
      </c>
      <c r="BW357" s="83" t="s">
        <v>2698</v>
      </c>
      <c r="BX357" s="83" t="s">
        <v>2696</v>
      </c>
      <c r="BY357" s="83" t="s">
        <v>2699</v>
      </c>
      <c r="BZ357" s="83" t="s">
        <v>2693</v>
      </c>
      <c r="CA357" s="83" t="s">
        <v>2693</v>
      </c>
      <c r="CB357" s="83" t="s">
        <v>2694</v>
      </c>
      <c r="CC357" s="83" t="s">
        <v>2699</v>
      </c>
      <c r="CD357" s="83" t="s">
        <v>2696</v>
      </c>
      <c r="CF357" s="83" t="s">
        <v>3309</v>
      </c>
      <c r="CG357" s="83" t="s">
        <v>3310</v>
      </c>
      <c r="CH357" s="83" t="s">
        <v>2693</v>
      </c>
      <c r="CI357" s="83" t="s">
        <v>3992</v>
      </c>
      <c r="CJ357" s="83" t="s">
        <v>2701</v>
      </c>
      <c r="CK357" s="144">
        <v>0</v>
      </c>
      <c r="CL357"/>
    </row>
    <row r="358" spans="1:90">
      <c r="A358" s="83" t="s">
        <v>3305</v>
      </c>
      <c r="B358" s="83" t="s">
        <v>996</v>
      </c>
      <c r="D358" s="83" t="s">
        <v>714</v>
      </c>
      <c r="E358" s="83" t="s">
        <v>2612</v>
      </c>
      <c r="F358" s="83" t="s">
        <v>3306</v>
      </c>
      <c r="G358" s="83" t="s">
        <v>1324</v>
      </c>
      <c r="H358" s="83" t="s">
        <v>1201</v>
      </c>
      <c r="I358" s="83" t="s">
        <v>1202</v>
      </c>
      <c r="J358" s="83" t="s">
        <v>1203</v>
      </c>
      <c r="K358" s="83" t="s">
        <v>565</v>
      </c>
      <c r="L358" s="83" t="s">
        <v>398</v>
      </c>
      <c r="M358" s="83" t="s">
        <v>399</v>
      </c>
      <c r="N358" s="83" t="s">
        <v>3277</v>
      </c>
      <c r="O358" s="83" t="s">
        <v>106</v>
      </c>
      <c r="P358" s="83">
        <v>4</v>
      </c>
      <c r="Q358" s="83" t="s">
        <v>106</v>
      </c>
      <c r="R358" s="83" t="s">
        <v>2727</v>
      </c>
      <c r="S358" s="83" t="s">
        <v>1444</v>
      </c>
      <c r="T358" s="83" t="s">
        <v>2843</v>
      </c>
      <c r="U358" s="83" t="s">
        <v>401</v>
      </c>
      <c r="AC358" s="83" t="s">
        <v>401</v>
      </c>
      <c r="AD358" s="83">
        <v>100000</v>
      </c>
      <c r="AF358" s="83">
        <v>11000</v>
      </c>
      <c r="AJ358" s="83">
        <v>1</v>
      </c>
      <c r="AK358" s="83">
        <v>2</v>
      </c>
      <c r="AL358" s="83">
        <v>1400</v>
      </c>
      <c r="AM358" s="83" t="s">
        <v>2693</v>
      </c>
      <c r="BK358" s="83" t="s">
        <v>2694</v>
      </c>
      <c r="BL358" s="83" t="s">
        <v>2697</v>
      </c>
      <c r="BM358" s="83" t="s">
        <v>2697</v>
      </c>
      <c r="BN358" s="83" t="s">
        <v>2698</v>
      </c>
      <c r="BO358" s="83" t="s">
        <v>2697</v>
      </c>
      <c r="BP358" s="83" t="s">
        <v>2698</v>
      </c>
      <c r="BQ358" s="83" t="s">
        <v>2699</v>
      </c>
      <c r="BR358" s="83" t="s">
        <v>2693</v>
      </c>
      <c r="BS358" s="83" t="s">
        <v>2699</v>
      </c>
      <c r="BT358" s="83" t="s">
        <v>2696</v>
      </c>
      <c r="BU358" s="83" t="s">
        <v>2699</v>
      </c>
      <c r="BV358" s="83" t="s">
        <v>2696</v>
      </c>
      <c r="BW358" s="83" t="s">
        <v>2698</v>
      </c>
      <c r="BX358" s="83" t="s">
        <v>2696</v>
      </c>
      <c r="BY358" s="83" t="s">
        <v>2699</v>
      </c>
      <c r="BZ358" s="83" t="s">
        <v>2693</v>
      </c>
      <c r="CA358" s="83" t="s">
        <v>2693</v>
      </c>
      <c r="CB358" s="83" t="s">
        <v>2694</v>
      </c>
      <c r="CC358" s="83" t="s">
        <v>2699</v>
      </c>
      <c r="CD358" s="83" t="s">
        <v>2696</v>
      </c>
      <c r="CF358" s="83" t="s">
        <v>3311</v>
      </c>
      <c r="CG358" s="83" t="s">
        <v>3312</v>
      </c>
      <c r="CH358" s="83" t="s">
        <v>2693</v>
      </c>
      <c r="CI358" s="83" t="s">
        <v>3992</v>
      </c>
      <c r="CJ358" s="83" t="s">
        <v>2701</v>
      </c>
      <c r="CK358" s="144">
        <v>2</v>
      </c>
      <c r="CL358"/>
    </row>
    <row r="359" spans="1:90">
      <c r="A359" s="83" t="s">
        <v>3305</v>
      </c>
      <c r="B359" s="83" t="s">
        <v>996</v>
      </c>
      <c r="D359" s="83" t="s">
        <v>716</v>
      </c>
      <c r="E359" s="83" t="s">
        <v>2629</v>
      </c>
      <c r="F359" s="83" t="s">
        <v>3306</v>
      </c>
      <c r="G359" s="83" t="s">
        <v>1324</v>
      </c>
      <c r="H359" s="83" t="s">
        <v>1201</v>
      </c>
      <c r="I359" s="83" t="s">
        <v>1202</v>
      </c>
      <c r="J359" s="83" t="s">
        <v>1203</v>
      </c>
      <c r="K359" s="83" t="s">
        <v>565</v>
      </c>
      <c r="L359" s="83" t="s">
        <v>398</v>
      </c>
      <c r="M359" s="83" t="s">
        <v>399</v>
      </c>
      <c r="N359" s="83" t="s">
        <v>3277</v>
      </c>
      <c r="O359" s="83" t="s">
        <v>106</v>
      </c>
      <c r="P359" s="83">
        <v>1</v>
      </c>
      <c r="Q359" s="83" t="s">
        <v>106</v>
      </c>
      <c r="R359" s="83" t="s">
        <v>2727</v>
      </c>
      <c r="S359" s="83" t="s">
        <v>1444</v>
      </c>
      <c r="T359" s="83" t="s">
        <v>2843</v>
      </c>
      <c r="U359" s="83" t="s">
        <v>401</v>
      </c>
      <c r="AC359" s="83" t="s">
        <v>401</v>
      </c>
      <c r="AD359" s="83">
        <v>71000</v>
      </c>
      <c r="AF359" s="83">
        <v>1000</v>
      </c>
      <c r="AJ359" s="83">
        <v>1</v>
      </c>
      <c r="AK359" s="83">
        <v>1</v>
      </c>
      <c r="AL359" s="83">
        <v>460</v>
      </c>
      <c r="AM359" s="83" t="s">
        <v>2693</v>
      </c>
      <c r="BK359" s="83" t="s">
        <v>2694</v>
      </c>
      <c r="BL359" s="83" t="s">
        <v>2704</v>
      </c>
      <c r="BM359" s="83" t="s">
        <v>2697</v>
      </c>
      <c r="BN359" s="83" t="s">
        <v>2696</v>
      </c>
      <c r="BO359" s="83" t="s">
        <v>2697</v>
      </c>
      <c r="BP359" s="83" t="s">
        <v>2698</v>
      </c>
      <c r="BQ359" s="83" t="s">
        <v>2699</v>
      </c>
      <c r="BR359" s="83" t="s">
        <v>2693</v>
      </c>
      <c r="BS359" s="83" t="s">
        <v>2699</v>
      </c>
      <c r="BT359" s="83" t="s">
        <v>2696</v>
      </c>
      <c r="BU359" s="83" t="s">
        <v>2699</v>
      </c>
      <c r="BV359" s="83" t="s">
        <v>2696</v>
      </c>
      <c r="BW359" s="83" t="s">
        <v>2697</v>
      </c>
      <c r="BX359" s="83" t="s">
        <v>2696</v>
      </c>
      <c r="BY359" s="83" t="s">
        <v>2699</v>
      </c>
      <c r="BZ359" s="83" t="s">
        <v>2693</v>
      </c>
      <c r="CA359" s="83" t="s">
        <v>2693</v>
      </c>
      <c r="CB359" s="83" t="s">
        <v>2694</v>
      </c>
      <c r="CC359" s="83" t="s">
        <v>2699</v>
      </c>
      <c r="CD359" s="83" t="s">
        <v>2696</v>
      </c>
      <c r="CF359" s="83" t="s">
        <v>3129</v>
      </c>
      <c r="CG359" s="83" t="s">
        <v>3313</v>
      </c>
      <c r="CH359" s="83" t="s">
        <v>2699</v>
      </c>
      <c r="CI359" s="83" t="s">
        <v>2699</v>
      </c>
      <c r="CJ359" s="83" t="s">
        <v>2734</v>
      </c>
      <c r="CK359" s="144">
        <v>0</v>
      </c>
      <c r="CL359"/>
    </row>
    <row r="360" spans="1:90">
      <c r="A360" s="83" t="s">
        <v>1570</v>
      </c>
      <c r="B360" s="83" t="s">
        <v>705</v>
      </c>
      <c r="D360" s="83" t="s">
        <v>688</v>
      </c>
      <c r="E360" s="83" t="s">
        <v>1678</v>
      </c>
      <c r="F360" s="83" t="s">
        <v>1235</v>
      </c>
      <c r="G360" s="83" t="s">
        <v>1876</v>
      </c>
      <c r="H360" s="83" t="s">
        <v>1201</v>
      </c>
      <c r="I360" s="83" t="s">
        <v>1202</v>
      </c>
      <c r="J360" s="83" t="s">
        <v>1203</v>
      </c>
      <c r="K360" s="83" t="s">
        <v>565</v>
      </c>
      <c r="L360" s="83" t="s">
        <v>398</v>
      </c>
      <c r="M360" s="83" t="s">
        <v>399</v>
      </c>
      <c r="N360" s="83" t="s">
        <v>2705</v>
      </c>
      <c r="O360" s="83" t="s">
        <v>106</v>
      </c>
      <c r="P360" s="83">
        <v>1</v>
      </c>
      <c r="Q360" s="83" t="s">
        <v>106</v>
      </c>
      <c r="R360" s="83" t="s">
        <v>2727</v>
      </c>
      <c r="S360" s="83" t="s">
        <v>2712</v>
      </c>
      <c r="T360" s="83" t="s">
        <v>2703</v>
      </c>
      <c r="U360" s="83" t="s">
        <v>401</v>
      </c>
      <c r="AC360" s="83" t="s">
        <v>401</v>
      </c>
      <c r="AD360" s="83">
        <v>4000</v>
      </c>
      <c r="AF360" s="83">
        <v>50000</v>
      </c>
      <c r="AJ360" s="83">
        <v>1</v>
      </c>
      <c r="AK360" s="83">
        <v>1</v>
      </c>
      <c r="AL360" s="83">
        <v>80</v>
      </c>
      <c r="AM360" s="83" t="s">
        <v>2693</v>
      </c>
      <c r="BK360" s="83" t="s">
        <v>2699</v>
      </c>
      <c r="BL360" s="83" t="s">
        <v>2699</v>
      </c>
      <c r="BM360" s="83" t="s">
        <v>2693</v>
      </c>
      <c r="BN360" s="83" t="s">
        <v>2696</v>
      </c>
      <c r="BO360" s="83" t="s">
        <v>2697</v>
      </c>
      <c r="BP360" s="83" t="s">
        <v>2695</v>
      </c>
      <c r="BQ360" s="83" t="s">
        <v>2693</v>
      </c>
      <c r="BR360" s="83" t="s">
        <v>2693</v>
      </c>
      <c r="BS360" s="83" t="s">
        <v>2699</v>
      </c>
      <c r="BT360" s="83">
        <v>0</v>
      </c>
      <c r="BU360" s="83" t="s">
        <v>2699</v>
      </c>
      <c r="BV360" s="83" t="s">
        <v>2696</v>
      </c>
      <c r="BW360" s="83" t="s">
        <v>2696</v>
      </c>
      <c r="BX360" s="83" t="s">
        <v>2696</v>
      </c>
      <c r="BY360" s="83" t="s">
        <v>2693</v>
      </c>
      <c r="BZ360" s="83" t="s">
        <v>2699</v>
      </c>
      <c r="CA360" s="83" t="s">
        <v>2693</v>
      </c>
      <c r="CB360" s="83" t="s">
        <v>2694</v>
      </c>
      <c r="CC360" s="83" t="s">
        <v>2696</v>
      </c>
      <c r="CD360" s="83" t="s">
        <v>2696</v>
      </c>
      <c r="CF360" s="83" t="s">
        <v>2096</v>
      </c>
      <c r="CG360" s="83" t="s">
        <v>2097</v>
      </c>
      <c r="CH360" s="83" t="s">
        <v>2699</v>
      </c>
      <c r="CI360" s="83">
        <v>1</v>
      </c>
      <c r="CJ360" s="83" t="s">
        <v>2734</v>
      </c>
      <c r="CK360" s="144">
        <v>0</v>
      </c>
      <c r="CL360"/>
    </row>
    <row r="361" spans="1:90">
      <c r="A361" s="83" t="s">
        <v>3093</v>
      </c>
      <c r="B361" s="83" t="s">
        <v>2584</v>
      </c>
      <c r="D361" s="83" t="s">
        <v>688</v>
      </c>
      <c r="E361" s="83" t="s">
        <v>2588</v>
      </c>
      <c r="F361" s="83" t="s">
        <v>1575</v>
      </c>
      <c r="G361" s="83" t="s">
        <v>1185</v>
      </c>
      <c r="H361" s="83" t="s">
        <v>1201</v>
      </c>
      <c r="I361" s="83" t="s">
        <v>1202</v>
      </c>
      <c r="J361" s="83" t="s">
        <v>1203</v>
      </c>
      <c r="K361" s="83" t="s">
        <v>565</v>
      </c>
      <c r="L361" s="83" t="s">
        <v>398</v>
      </c>
      <c r="M361" s="83" t="s">
        <v>399</v>
      </c>
      <c r="N361" s="83" t="s">
        <v>3057</v>
      </c>
      <c r="O361" s="83" t="s">
        <v>106</v>
      </c>
      <c r="P361" s="83">
        <v>4</v>
      </c>
      <c r="Q361" s="83" t="s">
        <v>106</v>
      </c>
      <c r="R361" s="83" t="s">
        <v>2730</v>
      </c>
      <c r="S361" s="83" t="s">
        <v>2805</v>
      </c>
      <c r="T361" s="83" t="s">
        <v>2843</v>
      </c>
      <c r="U361" s="83" t="s">
        <v>401</v>
      </c>
      <c r="AC361" s="83" t="s">
        <v>401</v>
      </c>
      <c r="AD361" s="83">
        <v>773000</v>
      </c>
      <c r="AF361" s="83">
        <v>150000</v>
      </c>
      <c r="AJ361" s="83">
        <v>1</v>
      </c>
      <c r="AK361" s="83">
        <v>1</v>
      </c>
      <c r="AL361" s="83">
        <v>7251</v>
      </c>
      <c r="AM361" s="83" t="s">
        <v>2693</v>
      </c>
      <c r="BK361" s="83" t="s">
        <v>2694</v>
      </c>
      <c r="BL361" s="83" t="s">
        <v>2704</v>
      </c>
      <c r="BM361" s="83" t="s">
        <v>2697</v>
      </c>
      <c r="BN361" s="83" t="s">
        <v>2698</v>
      </c>
      <c r="BO361" s="83" t="s">
        <v>2697</v>
      </c>
      <c r="BP361" s="83" t="s">
        <v>2698</v>
      </c>
      <c r="BQ361" s="83" t="s">
        <v>2699</v>
      </c>
      <c r="BR361" s="83" t="s">
        <v>2693</v>
      </c>
      <c r="BS361" s="83" t="s">
        <v>2699</v>
      </c>
      <c r="BT361" s="83" t="s">
        <v>2696</v>
      </c>
      <c r="BU361" s="83" t="s">
        <v>2699</v>
      </c>
      <c r="BV361" s="83" t="s">
        <v>2696</v>
      </c>
      <c r="BW361" s="83" t="s">
        <v>2698</v>
      </c>
      <c r="BX361" s="83" t="s">
        <v>2696</v>
      </c>
      <c r="BY361" s="83" t="s">
        <v>2699</v>
      </c>
      <c r="BZ361" s="83" t="s">
        <v>2693</v>
      </c>
      <c r="CA361" s="83" t="s">
        <v>2693</v>
      </c>
      <c r="CB361" s="83" t="s">
        <v>2694</v>
      </c>
      <c r="CC361" s="83" t="s">
        <v>2699</v>
      </c>
      <c r="CD361" s="83" t="s">
        <v>2696</v>
      </c>
      <c r="CF361" s="83" t="s">
        <v>3094</v>
      </c>
      <c r="CG361" s="83" t="s">
        <v>3095</v>
      </c>
      <c r="CH361" s="83" t="s">
        <v>2693</v>
      </c>
      <c r="CI361" s="83" t="s">
        <v>3992</v>
      </c>
      <c r="CJ361" s="83" t="s">
        <v>2701</v>
      </c>
      <c r="CK361" s="144">
        <v>0</v>
      </c>
      <c r="CL361"/>
    </row>
    <row r="362" spans="1:90">
      <c r="A362" s="83" t="s">
        <v>3086</v>
      </c>
      <c r="B362" s="83" t="s">
        <v>2584</v>
      </c>
      <c r="D362" s="83" t="s">
        <v>688</v>
      </c>
      <c r="E362" s="83" t="s">
        <v>2585</v>
      </c>
      <c r="F362" s="83" t="s">
        <v>1575</v>
      </c>
      <c r="G362" s="83" t="s">
        <v>1185</v>
      </c>
      <c r="H362" s="83" t="s">
        <v>1201</v>
      </c>
      <c r="I362" s="83" t="s">
        <v>1202</v>
      </c>
      <c r="J362" s="83" t="s">
        <v>1203</v>
      </c>
      <c r="K362" s="83" t="s">
        <v>565</v>
      </c>
      <c r="L362" s="83" t="s">
        <v>398</v>
      </c>
      <c r="M362" s="83" t="s">
        <v>399</v>
      </c>
      <c r="N362" s="83" t="s">
        <v>3057</v>
      </c>
      <c r="O362" s="83" t="s">
        <v>106</v>
      </c>
      <c r="P362" s="83">
        <v>1</v>
      </c>
      <c r="Q362" s="83" t="s">
        <v>106</v>
      </c>
      <c r="R362" s="83" t="s">
        <v>2727</v>
      </c>
      <c r="S362" s="83" t="s">
        <v>1444</v>
      </c>
      <c r="T362" s="83" t="s">
        <v>2843</v>
      </c>
      <c r="U362" s="83" t="s">
        <v>401</v>
      </c>
      <c r="AC362" s="83" t="s">
        <v>401</v>
      </c>
      <c r="AD362" s="83">
        <v>66000</v>
      </c>
      <c r="AF362" s="83">
        <v>0</v>
      </c>
      <c r="AJ362" s="83">
        <v>1</v>
      </c>
      <c r="AK362" s="83">
        <v>1</v>
      </c>
      <c r="AL362" s="83">
        <v>800</v>
      </c>
      <c r="AM362" s="83" t="s">
        <v>2693</v>
      </c>
      <c r="BK362" s="83" t="s">
        <v>2694</v>
      </c>
      <c r="BL362" s="83" t="s">
        <v>2693</v>
      </c>
      <c r="BM362" s="83" t="s">
        <v>2698</v>
      </c>
      <c r="BN362" s="83" t="s">
        <v>2696</v>
      </c>
      <c r="BO362" s="83" t="s">
        <v>2697</v>
      </c>
      <c r="BP362" s="83" t="s">
        <v>2698</v>
      </c>
      <c r="BQ362" s="83" t="s">
        <v>2699</v>
      </c>
      <c r="BR362" s="83" t="s">
        <v>2693</v>
      </c>
      <c r="BS362" s="83" t="s">
        <v>2699</v>
      </c>
      <c r="BT362" s="83" t="s">
        <v>2696</v>
      </c>
      <c r="BU362" s="83" t="s">
        <v>2699</v>
      </c>
      <c r="BV362" s="83" t="s">
        <v>2696</v>
      </c>
      <c r="BW362" s="83" t="s">
        <v>2697</v>
      </c>
      <c r="BX362" s="83" t="s">
        <v>2696</v>
      </c>
      <c r="BY362" s="83" t="s">
        <v>2699</v>
      </c>
      <c r="BZ362" s="83" t="s">
        <v>2693</v>
      </c>
      <c r="CA362" s="83" t="s">
        <v>2693</v>
      </c>
      <c r="CB362" s="83" t="s">
        <v>2694</v>
      </c>
      <c r="CC362" s="83" t="s">
        <v>2699</v>
      </c>
      <c r="CD362" s="83" t="s">
        <v>2696</v>
      </c>
      <c r="CF362" s="83" t="s">
        <v>3087</v>
      </c>
      <c r="CG362" s="83" t="s">
        <v>3088</v>
      </c>
      <c r="CH362" s="83" t="s">
        <v>2699</v>
      </c>
      <c r="CI362" s="83">
        <v>1</v>
      </c>
      <c r="CJ362" s="83" t="s">
        <v>2734</v>
      </c>
      <c r="CK362" s="144">
        <v>0</v>
      </c>
      <c r="CL362"/>
    </row>
    <row r="363" spans="1:90">
      <c r="A363" s="83" t="s">
        <v>3083</v>
      </c>
      <c r="B363" s="83" t="s">
        <v>2584</v>
      </c>
      <c r="D363" s="83" t="s">
        <v>688</v>
      </c>
      <c r="E363" s="83" t="s">
        <v>2583</v>
      </c>
      <c r="F363" s="83" t="s">
        <v>1575</v>
      </c>
      <c r="G363" s="83" t="s">
        <v>1185</v>
      </c>
      <c r="H363" s="83" t="s">
        <v>1201</v>
      </c>
      <c r="I363" s="83" t="s">
        <v>1202</v>
      </c>
      <c r="J363" s="83" t="s">
        <v>1203</v>
      </c>
      <c r="K363" s="83" t="s">
        <v>565</v>
      </c>
      <c r="L363" s="83" t="s">
        <v>398</v>
      </c>
      <c r="M363" s="83" t="s">
        <v>399</v>
      </c>
      <c r="N363" s="83" t="s">
        <v>3057</v>
      </c>
      <c r="O363" s="83" t="s">
        <v>106</v>
      </c>
      <c r="P363" s="83">
        <v>1</v>
      </c>
      <c r="Q363" s="83" t="s">
        <v>106</v>
      </c>
      <c r="R363" s="83" t="s">
        <v>2727</v>
      </c>
      <c r="S363" s="83" t="s">
        <v>2720</v>
      </c>
      <c r="T363" s="83" t="s">
        <v>2843</v>
      </c>
      <c r="U363" s="83" t="s">
        <v>401</v>
      </c>
      <c r="AC363" s="83" t="s">
        <v>401</v>
      </c>
      <c r="AD363" s="83">
        <v>80000</v>
      </c>
      <c r="AF363" s="83">
        <v>8000</v>
      </c>
      <c r="AJ363" s="83">
        <v>1</v>
      </c>
      <c r="AK363" s="83">
        <v>1</v>
      </c>
      <c r="AL363" s="83">
        <v>800</v>
      </c>
      <c r="AM363" s="83" t="s">
        <v>2693</v>
      </c>
      <c r="BK363" s="83" t="s">
        <v>2694</v>
      </c>
      <c r="BL363" s="83" t="s">
        <v>2699</v>
      </c>
      <c r="BM363" s="83" t="s">
        <v>2698</v>
      </c>
      <c r="BN363" s="83" t="s">
        <v>2696</v>
      </c>
      <c r="BO363" s="83" t="s">
        <v>2697</v>
      </c>
      <c r="BP363" s="83" t="s">
        <v>2698</v>
      </c>
      <c r="BQ363" s="83" t="s">
        <v>2699</v>
      </c>
      <c r="BR363" s="83" t="s">
        <v>2693</v>
      </c>
      <c r="BS363" s="83" t="s">
        <v>2699</v>
      </c>
      <c r="BT363" s="83" t="s">
        <v>2696</v>
      </c>
      <c r="BU363" s="83" t="s">
        <v>2699</v>
      </c>
      <c r="BV363" s="83" t="s">
        <v>2696</v>
      </c>
      <c r="BW363" s="83" t="s">
        <v>2697</v>
      </c>
      <c r="BX363" s="83" t="s">
        <v>2696</v>
      </c>
      <c r="BY363" s="83" t="s">
        <v>2699</v>
      </c>
      <c r="BZ363" s="83" t="s">
        <v>2693</v>
      </c>
      <c r="CA363" s="83" t="s">
        <v>2693</v>
      </c>
      <c r="CB363" s="83" t="s">
        <v>2694</v>
      </c>
      <c r="CC363" s="83" t="s">
        <v>2699</v>
      </c>
      <c r="CD363" s="83" t="s">
        <v>2696</v>
      </c>
      <c r="CF363" s="83" t="s">
        <v>3084</v>
      </c>
      <c r="CG363" s="83" t="s">
        <v>3085</v>
      </c>
      <c r="CH363" s="83" t="s">
        <v>2699</v>
      </c>
      <c r="CI363" s="83">
        <v>1</v>
      </c>
      <c r="CJ363" s="83" t="s">
        <v>2734</v>
      </c>
      <c r="CK363" s="144">
        <v>0</v>
      </c>
      <c r="CL363"/>
    </row>
    <row r="364" spans="1:90">
      <c r="A364" s="83" t="s">
        <v>3096</v>
      </c>
      <c r="B364" s="83" t="s">
        <v>2584</v>
      </c>
      <c r="D364" s="83" t="s">
        <v>688</v>
      </c>
      <c r="E364" s="83" t="s">
        <v>2589</v>
      </c>
      <c r="F364" s="83" t="s">
        <v>1575</v>
      </c>
      <c r="G364" s="83" t="s">
        <v>1185</v>
      </c>
      <c r="H364" s="83" t="s">
        <v>1201</v>
      </c>
      <c r="I364" s="83" t="s">
        <v>1202</v>
      </c>
      <c r="J364" s="83" t="s">
        <v>1203</v>
      </c>
      <c r="K364" s="83" t="s">
        <v>565</v>
      </c>
      <c r="L364" s="83" t="s">
        <v>398</v>
      </c>
      <c r="M364" s="83" t="s">
        <v>399</v>
      </c>
      <c r="N364" s="83" t="s">
        <v>3057</v>
      </c>
      <c r="O364" s="83" t="s">
        <v>106</v>
      </c>
      <c r="P364" s="83">
        <v>9</v>
      </c>
      <c r="Q364" s="83" t="s">
        <v>106</v>
      </c>
      <c r="R364" s="83" t="s">
        <v>2727</v>
      </c>
      <c r="S364" s="83" t="s">
        <v>2714</v>
      </c>
      <c r="T364" s="83" t="s">
        <v>2843</v>
      </c>
      <c r="U364" s="83" t="s">
        <v>401</v>
      </c>
      <c r="AC364" s="83" t="s">
        <v>401</v>
      </c>
      <c r="AD364" s="83">
        <v>143000</v>
      </c>
      <c r="AF364" s="83">
        <v>0</v>
      </c>
      <c r="AJ364" s="83">
        <v>1</v>
      </c>
      <c r="AK364" s="83">
        <v>1</v>
      </c>
      <c r="AL364" s="83">
        <v>2400</v>
      </c>
      <c r="AM364" s="83" t="s">
        <v>2693</v>
      </c>
      <c r="BK364" s="83" t="s">
        <v>2694</v>
      </c>
      <c r="BL364" s="83" t="s">
        <v>2699</v>
      </c>
      <c r="BM364" s="83" t="s">
        <v>2697</v>
      </c>
      <c r="BN364" s="83" t="s">
        <v>2696</v>
      </c>
      <c r="BO364" s="83" t="s">
        <v>2697</v>
      </c>
      <c r="BP364" s="83" t="s">
        <v>2697</v>
      </c>
      <c r="BQ364" s="83" t="s">
        <v>2699</v>
      </c>
      <c r="BR364" s="83" t="s">
        <v>2693</v>
      </c>
      <c r="BS364" s="83" t="s">
        <v>2699</v>
      </c>
      <c r="BT364" s="83" t="s">
        <v>2696</v>
      </c>
      <c r="BU364" s="83" t="s">
        <v>2699</v>
      </c>
      <c r="BV364" s="83" t="s">
        <v>2696</v>
      </c>
      <c r="BW364" s="83" t="s">
        <v>2693</v>
      </c>
      <c r="BX364" s="83" t="s">
        <v>2696</v>
      </c>
      <c r="BY364" s="83" t="s">
        <v>2699</v>
      </c>
      <c r="BZ364" s="83" t="s">
        <v>2693</v>
      </c>
      <c r="CA364" s="83" t="s">
        <v>2693</v>
      </c>
      <c r="CB364" s="83" t="s">
        <v>2694</v>
      </c>
      <c r="CC364" s="83" t="s">
        <v>2699</v>
      </c>
      <c r="CD364" s="83" t="s">
        <v>2696</v>
      </c>
      <c r="CF364" s="83" t="s">
        <v>3097</v>
      </c>
      <c r="CG364" s="83" t="s">
        <v>3098</v>
      </c>
      <c r="CH364" s="83" t="s">
        <v>2697</v>
      </c>
      <c r="CI364" s="83" t="s">
        <v>2695</v>
      </c>
      <c r="CJ364" s="83" t="s">
        <v>2757</v>
      </c>
      <c r="CK364" s="144">
        <v>0</v>
      </c>
      <c r="CL364" s="99">
        <v>72000</v>
      </c>
    </row>
    <row r="365" spans="1:90">
      <c r="A365" s="83" t="s">
        <v>3203</v>
      </c>
      <c r="B365" s="83" t="s">
        <v>2660</v>
      </c>
      <c r="D365" s="83" t="s">
        <v>688</v>
      </c>
      <c r="E365" s="83" t="s">
        <v>2661</v>
      </c>
      <c r="F365" s="83" t="s">
        <v>3204</v>
      </c>
      <c r="G365" s="83" t="s">
        <v>2307</v>
      </c>
      <c r="H365" s="83" t="s">
        <v>1201</v>
      </c>
      <c r="I365" s="83" t="s">
        <v>1202</v>
      </c>
      <c r="J365" s="83" t="s">
        <v>1203</v>
      </c>
      <c r="K365" s="83" t="s">
        <v>565</v>
      </c>
      <c r="L365" s="83" t="s">
        <v>398</v>
      </c>
      <c r="M365" s="83" t="s">
        <v>399</v>
      </c>
      <c r="N365" s="83" t="s">
        <v>2833</v>
      </c>
      <c r="O365" s="83" t="s">
        <v>106</v>
      </c>
      <c r="P365" s="83">
        <v>9</v>
      </c>
      <c r="Q365" s="83" t="s">
        <v>106</v>
      </c>
      <c r="R365" s="83" t="s">
        <v>2727</v>
      </c>
      <c r="S365" s="83" t="s">
        <v>2814</v>
      </c>
      <c r="T365" s="83" t="s">
        <v>2843</v>
      </c>
      <c r="U365" s="83" t="s">
        <v>401</v>
      </c>
      <c r="AC365" s="83" t="s">
        <v>401</v>
      </c>
      <c r="AD365" s="83">
        <v>175000</v>
      </c>
      <c r="AF365" s="83">
        <v>11000</v>
      </c>
      <c r="AJ365" s="83">
        <v>1</v>
      </c>
      <c r="AK365" s="83">
        <v>1</v>
      </c>
      <c r="AL365" s="83">
        <v>4131</v>
      </c>
      <c r="AM365" s="83" t="s">
        <v>2693</v>
      </c>
      <c r="BK365" s="83" t="s">
        <v>2694</v>
      </c>
      <c r="BL365" s="83" t="s">
        <v>2693</v>
      </c>
      <c r="BM365" s="83" t="s">
        <v>2698</v>
      </c>
      <c r="BN365" s="83" t="s">
        <v>2696</v>
      </c>
      <c r="BO365" s="83" t="s">
        <v>2697</v>
      </c>
      <c r="BP365" s="83" t="s">
        <v>2697</v>
      </c>
      <c r="BQ365" s="83" t="s">
        <v>2699</v>
      </c>
      <c r="BR365" s="83" t="s">
        <v>2693</v>
      </c>
      <c r="BS365" s="83" t="s">
        <v>2699</v>
      </c>
      <c r="BT365" s="83" t="s">
        <v>2696</v>
      </c>
      <c r="BU365" s="83" t="s">
        <v>2699</v>
      </c>
      <c r="BV365" s="83" t="s">
        <v>2696</v>
      </c>
      <c r="BW365" s="83" t="s">
        <v>2698</v>
      </c>
      <c r="BX365" s="83" t="s">
        <v>2696</v>
      </c>
      <c r="BY365" s="83" t="s">
        <v>2699</v>
      </c>
      <c r="BZ365" s="83" t="s">
        <v>2693</v>
      </c>
      <c r="CA365" s="83" t="s">
        <v>2693</v>
      </c>
      <c r="CB365" s="83" t="s">
        <v>2694</v>
      </c>
      <c r="CC365" s="83" t="s">
        <v>2699</v>
      </c>
      <c r="CD365" s="83" t="s">
        <v>2696</v>
      </c>
      <c r="CF365" s="83" t="s">
        <v>3205</v>
      </c>
      <c r="CG365" s="83" t="s">
        <v>3206</v>
      </c>
      <c r="CH365" s="83" t="s">
        <v>2697</v>
      </c>
      <c r="CI365" s="83" t="s">
        <v>2695</v>
      </c>
      <c r="CJ365" s="83" t="s">
        <v>2757</v>
      </c>
      <c r="CK365" s="144">
        <v>0</v>
      </c>
      <c r="CL365"/>
    </row>
    <row r="366" spans="1:90">
      <c r="A366" s="83" t="s">
        <v>3099</v>
      </c>
      <c r="B366" s="83" t="s">
        <v>2584</v>
      </c>
      <c r="D366" s="83" t="s">
        <v>688</v>
      </c>
      <c r="E366" s="83" t="s">
        <v>2590</v>
      </c>
      <c r="F366" s="83" t="s">
        <v>1575</v>
      </c>
      <c r="G366" s="83" t="s">
        <v>1185</v>
      </c>
      <c r="H366" s="83" t="s">
        <v>1201</v>
      </c>
      <c r="I366" s="83" t="s">
        <v>1202</v>
      </c>
      <c r="J366" s="83" t="s">
        <v>1203</v>
      </c>
      <c r="K366" s="83" t="s">
        <v>565</v>
      </c>
      <c r="L366" s="83" t="s">
        <v>398</v>
      </c>
      <c r="M366" s="83" t="s">
        <v>399</v>
      </c>
      <c r="N366" s="83" t="s">
        <v>3057</v>
      </c>
      <c r="O366" s="83" t="s">
        <v>106</v>
      </c>
      <c r="P366" s="83">
        <v>4</v>
      </c>
      <c r="Q366" s="83" t="s">
        <v>106</v>
      </c>
      <c r="R366" s="83" t="s">
        <v>2727</v>
      </c>
      <c r="S366" s="83" t="s">
        <v>2751</v>
      </c>
      <c r="T366" s="83" t="s">
        <v>2843</v>
      </c>
      <c r="U366" s="83" t="s">
        <v>401</v>
      </c>
      <c r="AC366" s="83" t="s">
        <v>401</v>
      </c>
      <c r="AD366" s="83">
        <v>121000</v>
      </c>
      <c r="AF366" s="83">
        <v>0</v>
      </c>
      <c r="AJ366" s="83">
        <v>1</v>
      </c>
      <c r="AK366" s="83">
        <v>1</v>
      </c>
      <c r="AL366" s="83">
        <v>2400</v>
      </c>
      <c r="AM366" s="83" t="s">
        <v>2693</v>
      </c>
      <c r="BK366" s="83" t="s">
        <v>2694</v>
      </c>
      <c r="BL366" s="83" t="s">
        <v>2693</v>
      </c>
      <c r="BM366" s="83" t="s">
        <v>2697</v>
      </c>
      <c r="BN366" s="83" t="s">
        <v>2696</v>
      </c>
      <c r="BO366" s="83" t="s">
        <v>2697</v>
      </c>
      <c r="BP366" s="83" t="s">
        <v>2698</v>
      </c>
      <c r="BQ366" s="83" t="s">
        <v>2699</v>
      </c>
      <c r="BR366" s="83" t="s">
        <v>2693</v>
      </c>
      <c r="BS366" s="83" t="s">
        <v>2699</v>
      </c>
      <c r="BT366" s="83" t="s">
        <v>2696</v>
      </c>
      <c r="BU366" s="83" t="s">
        <v>2699</v>
      </c>
      <c r="BV366" s="83" t="s">
        <v>2696</v>
      </c>
      <c r="BW366" s="83" t="s">
        <v>2693</v>
      </c>
      <c r="BX366" s="83" t="s">
        <v>2696</v>
      </c>
      <c r="BY366" s="83" t="s">
        <v>2699</v>
      </c>
      <c r="BZ366" s="83" t="s">
        <v>2693</v>
      </c>
      <c r="CA366" s="83" t="s">
        <v>2693</v>
      </c>
      <c r="CB366" s="83" t="s">
        <v>2694</v>
      </c>
      <c r="CC366" s="83" t="s">
        <v>2699</v>
      </c>
      <c r="CD366" s="83" t="s">
        <v>2696</v>
      </c>
      <c r="CF366" s="83" t="s">
        <v>3100</v>
      </c>
      <c r="CG366" s="83" t="s">
        <v>3101</v>
      </c>
      <c r="CH366" s="83" t="s">
        <v>2693</v>
      </c>
      <c r="CI366" s="83" t="s">
        <v>3992</v>
      </c>
      <c r="CJ366" s="83" t="s">
        <v>2701</v>
      </c>
      <c r="CK366" s="144">
        <v>0</v>
      </c>
      <c r="CL366"/>
    </row>
    <row r="367" spans="1:90">
      <c r="A367" s="79" t="s">
        <v>3099</v>
      </c>
      <c r="B367" s="79" t="s">
        <v>2584</v>
      </c>
      <c r="C367" s="79"/>
      <c r="D367" s="79" t="s">
        <v>673</v>
      </c>
      <c r="E367" s="79" t="s">
        <v>3825</v>
      </c>
      <c r="F367" s="79">
        <v>1321</v>
      </c>
      <c r="G367" s="79" t="s">
        <v>1185</v>
      </c>
      <c r="H367" s="79" t="s">
        <v>1201</v>
      </c>
      <c r="I367" s="79" t="s">
        <v>1202</v>
      </c>
      <c r="J367" s="79" t="s">
        <v>1203</v>
      </c>
      <c r="K367" s="79" t="s">
        <v>565</v>
      </c>
      <c r="L367" s="79" t="s">
        <v>398</v>
      </c>
      <c r="M367" s="79" t="s">
        <v>399</v>
      </c>
      <c r="N367" s="79" t="s">
        <v>3057</v>
      </c>
      <c r="O367" s="79" t="s">
        <v>106</v>
      </c>
      <c r="P367" s="79">
        <v>9</v>
      </c>
      <c r="Q367" s="79" t="s">
        <v>106</v>
      </c>
      <c r="R367" s="79">
        <v>39</v>
      </c>
      <c r="S367" s="90">
        <v>22281</v>
      </c>
      <c r="T367" s="79" t="s">
        <v>2703</v>
      </c>
      <c r="U367" s="79" t="s">
        <v>401</v>
      </c>
      <c r="AC367" s="79" t="s">
        <v>401</v>
      </c>
      <c r="AD367" s="79">
        <v>81000</v>
      </c>
      <c r="AE367" s="79"/>
      <c r="AF367" s="79">
        <v>0</v>
      </c>
      <c r="AG367" s="79"/>
      <c r="AH367" s="79"/>
      <c r="AI367" s="79"/>
      <c r="AJ367" s="79">
        <v>1</v>
      </c>
      <c r="AK367" s="79">
        <v>1</v>
      </c>
      <c r="AL367" s="79">
        <v>1600</v>
      </c>
      <c r="AM367" s="79" t="s">
        <v>2693</v>
      </c>
      <c r="AN367" s="79"/>
      <c r="AO367" s="79"/>
      <c r="AP367" s="79"/>
      <c r="AQ367" s="79"/>
      <c r="AR367" s="79"/>
      <c r="AS367" s="79"/>
      <c r="AT367" s="79"/>
      <c r="AU367" s="79"/>
      <c r="AV367" s="79"/>
      <c r="AW367" s="79"/>
      <c r="AX367" s="79"/>
      <c r="AY367" s="79"/>
      <c r="AZ367" s="79"/>
      <c r="BA367" s="79"/>
      <c r="BB367" s="79"/>
      <c r="BC367" s="79"/>
      <c r="BD367" s="79"/>
      <c r="BE367" s="79"/>
      <c r="BF367" s="79"/>
      <c r="BG367" s="79"/>
      <c r="BH367" s="79"/>
      <c r="BI367" s="79"/>
      <c r="BJ367" s="79"/>
      <c r="BK367" s="79">
        <v>9</v>
      </c>
      <c r="BL367" s="79">
        <v>2</v>
      </c>
      <c r="BM367" s="79">
        <v>5</v>
      </c>
      <c r="BN367" s="79">
        <v>5</v>
      </c>
      <c r="BO367" s="79">
        <v>2</v>
      </c>
      <c r="BP367" s="79">
        <v>3</v>
      </c>
      <c r="BQ367" s="79">
        <v>1</v>
      </c>
      <c r="BR367" s="79">
        <v>2</v>
      </c>
      <c r="BS367" s="79">
        <v>1</v>
      </c>
      <c r="BT367" s="79">
        <v>0</v>
      </c>
      <c r="BU367" s="79">
        <v>1</v>
      </c>
      <c r="BV367" s="79">
        <v>0</v>
      </c>
      <c r="BW367" s="79">
        <v>2</v>
      </c>
      <c r="BX367" s="79">
        <v>0</v>
      </c>
      <c r="BY367" s="79">
        <v>1</v>
      </c>
      <c r="BZ367" s="79">
        <v>0</v>
      </c>
      <c r="CA367" s="79">
        <v>1</v>
      </c>
      <c r="CB367" s="79">
        <v>9</v>
      </c>
      <c r="CC367" s="79">
        <v>1</v>
      </c>
      <c r="CD367" s="79">
        <v>0</v>
      </c>
      <c r="CE367" s="79"/>
      <c r="CF367" s="79" t="s">
        <v>3100</v>
      </c>
      <c r="CG367" s="79" t="s">
        <v>3916</v>
      </c>
      <c r="CH367" s="79" t="s">
        <v>2697</v>
      </c>
      <c r="CI367" s="79">
        <v>4</v>
      </c>
      <c r="CJ367" s="79" t="s">
        <v>2757</v>
      </c>
      <c r="CK367" s="145">
        <v>0</v>
      </c>
      <c r="CL367"/>
    </row>
    <row r="368" spans="1:90">
      <c r="A368" s="83" t="s">
        <v>1571</v>
      </c>
      <c r="B368" s="83" t="s">
        <v>742</v>
      </c>
      <c r="D368" s="83" t="s">
        <v>688</v>
      </c>
      <c r="E368" s="83" t="s">
        <v>1012</v>
      </c>
      <c r="F368" s="83" t="s">
        <v>1768</v>
      </c>
      <c r="G368" s="83" t="s">
        <v>1850</v>
      </c>
      <c r="H368" s="83" t="s">
        <v>1201</v>
      </c>
      <c r="I368" s="83" t="s">
        <v>1202</v>
      </c>
      <c r="J368" s="83" t="s">
        <v>1203</v>
      </c>
      <c r="K368" s="83" t="s">
        <v>565</v>
      </c>
      <c r="L368" s="83" t="s">
        <v>398</v>
      </c>
      <c r="M368" s="83" t="s">
        <v>399</v>
      </c>
      <c r="N368" s="83" t="s">
        <v>2709</v>
      </c>
      <c r="O368" s="83" t="s">
        <v>106</v>
      </c>
      <c r="P368" s="83">
        <v>8</v>
      </c>
      <c r="Q368" s="83" t="s">
        <v>106</v>
      </c>
      <c r="R368" s="83" t="s">
        <v>2691</v>
      </c>
      <c r="S368" s="83" t="s">
        <v>2724</v>
      </c>
      <c r="T368" s="83" t="s">
        <v>2703</v>
      </c>
      <c r="U368" s="83" t="s">
        <v>401</v>
      </c>
      <c r="AC368" s="83" t="s">
        <v>401</v>
      </c>
      <c r="AD368" s="83">
        <v>1008000</v>
      </c>
      <c r="AF368" s="83">
        <v>0</v>
      </c>
      <c r="AJ368" s="83">
        <v>1</v>
      </c>
      <c r="AK368" s="83">
        <v>1</v>
      </c>
      <c r="AL368" s="83">
        <v>10080</v>
      </c>
      <c r="AM368" s="83" t="s">
        <v>2693</v>
      </c>
      <c r="BK368" s="83" t="s">
        <v>2694</v>
      </c>
      <c r="BL368" s="83" t="s">
        <v>2695</v>
      </c>
      <c r="BM368" s="83" t="s">
        <v>2693</v>
      </c>
      <c r="BN368" s="83" t="s">
        <v>2698</v>
      </c>
      <c r="BO368" s="83" t="s">
        <v>2697</v>
      </c>
      <c r="BP368" s="83" t="s">
        <v>2697</v>
      </c>
      <c r="BQ368" s="83" t="s">
        <v>2699</v>
      </c>
      <c r="BR368" s="83" t="s">
        <v>2693</v>
      </c>
      <c r="BS368" s="83" t="s">
        <v>2699</v>
      </c>
      <c r="BT368" s="83">
        <v>0</v>
      </c>
      <c r="BU368" s="83" t="s">
        <v>2699</v>
      </c>
      <c r="BV368" s="83" t="s">
        <v>2696</v>
      </c>
      <c r="BW368" s="83" t="s">
        <v>2698</v>
      </c>
      <c r="BX368" s="83" t="s">
        <v>2696</v>
      </c>
      <c r="BY368" s="83" t="s">
        <v>2699</v>
      </c>
      <c r="BZ368" s="83" t="s">
        <v>2693</v>
      </c>
      <c r="CA368" s="83" t="s">
        <v>2693</v>
      </c>
      <c r="CB368" s="83" t="s">
        <v>2694</v>
      </c>
      <c r="CC368" s="83" t="s">
        <v>2699</v>
      </c>
      <c r="CD368" s="83" t="s">
        <v>2696</v>
      </c>
      <c r="CF368" s="83" t="s">
        <v>2063</v>
      </c>
      <c r="CG368" s="83" t="s">
        <v>2064</v>
      </c>
      <c r="CH368" s="83" t="s">
        <v>2695</v>
      </c>
      <c r="CI368" s="83" t="s">
        <v>648</v>
      </c>
      <c r="CJ368" s="83" t="s">
        <v>2731</v>
      </c>
      <c r="CK368" s="144">
        <v>0</v>
      </c>
      <c r="CL368" s="99">
        <v>74000</v>
      </c>
    </row>
    <row r="369" spans="1:90">
      <c r="A369" s="83" t="s">
        <v>3480</v>
      </c>
      <c r="B369" s="83" t="s">
        <v>3481</v>
      </c>
      <c r="D369" s="83" t="s">
        <v>688</v>
      </c>
      <c r="E369" s="83" t="s">
        <v>2410</v>
      </c>
      <c r="F369" s="83" t="s">
        <v>1575</v>
      </c>
      <c r="G369" s="83" t="s">
        <v>1185</v>
      </c>
      <c r="H369" s="83" t="s">
        <v>1201</v>
      </c>
      <c r="I369" s="83" t="s">
        <v>1202</v>
      </c>
      <c r="J369" s="83" t="s">
        <v>1203</v>
      </c>
      <c r="K369" s="83" t="s">
        <v>565</v>
      </c>
      <c r="L369" s="83" t="s">
        <v>398</v>
      </c>
      <c r="M369" s="83" t="s">
        <v>399</v>
      </c>
      <c r="N369" s="83" t="s">
        <v>3057</v>
      </c>
      <c r="O369" s="83" t="s">
        <v>106</v>
      </c>
      <c r="P369" s="83">
        <v>1</v>
      </c>
      <c r="Q369" s="83" t="s">
        <v>106</v>
      </c>
      <c r="R369" s="83" t="s">
        <v>2799</v>
      </c>
      <c r="S369" s="83" t="s">
        <v>3054</v>
      </c>
      <c r="T369" s="83" t="s">
        <v>2703</v>
      </c>
      <c r="U369" s="83" t="s">
        <v>401</v>
      </c>
      <c r="AC369" s="83" t="s">
        <v>401</v>
      </c>
      <c r="AD369" s="83">
        <v>23000</v>
      </c>
      <c r="AF369" s="83">
        <v>16000</v>
      </c>
      <c r="AJ369" s="83">
        <v>1</v>
      </c>
      <c r="AK369" s="83">
        <v>1</v>
      </c>
      <c r="AL369" s="83">
        <v>600</v>
      </c>
      <c r="AM369" s="83" t="s">
        <v>2693</v>
      </c>
      <c r="BK369" s="83" t="s">
        <v>2694</v>
      </c>
      <c r="BL369" s="83" t="s">
        <v>2693</v>
      </c>
      <c r="BM369" s="83" t="s">
        <v>2698</v>
      </c>
      <c r="BN369" s="83" t="s">
        <v>2696</v>
      </c>
      <c r="BO369" s="83" t="s">
        <v>2697</v>
      </c>
      <c r="BP369" s="83" t="s">
        <v>2698</v>
      </c>
      <c r="BQ369" s="83" t="s">
        <v>2699</v>
      </c>
      <c r="BR369" s="83" t="s">
        <v>2693</v>
      </c>
      <c r="BS369" s="83" t="s">
        <v>2699</v>
      </c>
      <c r="BT369" s="83" t="s">
        <v>2696</v>
      </c>
      <c r="BU369" s="83" t="s">
        <v>2699</v>
      </c>
      <c r="BV369" s="83" t="s">
        <v>2697</v>
      </c>
      <c r="BW369" s="83" t="s">
        <v>2693</v>
      </c>
      <c r="BX369" s="83" t="s">
        <v>2696</v>
      </c>
      <c r="BY369" s="83" t="s">
        <v>2699</v>
      </c>
      <c r="BZ369" s="83" t="s">
        <v>2699</v>
      </c>
      <c r="CA369" s="83" t="s">
        <v>2693</v>
      </c>
      <c r="CB369" s="83" t="s">
        <v>2694</v>
      </c>
      <c r="CC369" s="83" t="s">
        <v>2696</v>
      </c>
      <c r="CD369" s="83" t="s">
        <v>2696</v>
      </c>
      <c r="CF369" s="83" t="s">
        <v>928</v>
      </c>
      <c r="CG369" s="83" t="s">
        <v>929</v>
      </c>
      <c r="CH369" s="83" t="s">
        <v>2699</v>
      </c>
      <c r="CI369" s="83" t="s">
        <v>2699</v>
      </c>
      <c r="CJ369" s="83" t="s">
        <v>2734</v>
      </c>
      <c r="CK369" s="144">
        <v>0</v>
      </c>
      <c r="CL369"/>
    </row>
    <row r="370" spans="1:90">
      <c r="A370" s="83" t="s">
        <v>3482</v>
      </c>
      <c r="B370" s="83" t="s">
        <v>3483</v>
      </c>
      <c r="D370" s="83" t="s">
        <v>688</v>
      </c>
      <c r="E370" s="83" t="s">
        <v>3484</v>
      </c>
      <c r="F370" s="83" t="s">
        <v>1575</v>
      </c>
      <c r="G370" s="83" t="s">
        <v>1185</v>
      </c>
      <c r="H370" s="83" t="s">
        <v>1201</v>
      </c>
      <c r="I370" s="83" t="s">
        <v>1202</v>
      </c>
      <c r="J370" s="83" t="s">
        <v>1203</v>
      </c>
      <c r="K370" s="83" t="s">
        <v>565</v>
      </c>
      <c r="L370" s="83" t="s">
        <v>398</v>
      </c>
      <c r="M370" s="83" t="s">
        <v>399</v>
      </c>
      <c r="N370" s="83" t="s">
        <v>3057</v>
      </c>
      <c r="O370" s="83" t="s">
        <v>106</v>
      </c>
      <c r="P370" s="83">
        <v>9</v>
      </c>
      <c r="Q370" s="83" t="s">
        <v>106</v>
      </c>
      <c r="R370" s="83" t="s">
        <v>2799</v>
      </c>
      <c r="S370" s="83" t="s">
        <v>2736</v>
      </c>
      <c r="T370" s="83" t="s">
        <v>2703</v>
      </c>
      <c r="U370" s="83" t="s">
        <v>401</v>
      </c>
      <c r="AC370" s="83" t="s">
        <v>401</v>
      </c>
      <c r="AD370" s="83">
        <v>8000</v>
      </c>
      <c r="AF370" s="83">
        <v>8000</v>
      </c>
      <c r="AJ370" s="83">
        <v>1</v>
      </c>
      <c r="AK370" s="83">
        <v>1</v>
      </c>
      <c r="AL370" s="83">
        <v>320</v>
      </c>
      <c r="AM370" s="83" t="s">
        <v>2693</v>
      </c>
      <c r="BK370" s="83" t="s">
        <v>2694</v>
      </c>
      <c r="BL370" s="83" t="s">
        <v>2693</v>
      </c>
      <c r="BM370" s="83" t="s">
        <v>2693</v>
      </c>
      <c r="BN370" s="83" t="s">
        <v>2698</v>
      </c>
      <c r="BO370" s="83" t="s">
        <v>2697</v>
      </c>
      <c r="BP370" s="83" t="s">
        <v>2697</v>
      </c>
      <c r="BQ370" s="83" t="s">
        <v>2699</v>
      </c>
      <c r="BR370" s="83" t="s">
        <v>2693</v>
      </c>
      <c r="BS370" s="83" t="s">
        <v>2699</v>
      </c>
      <c r="BT370" s="83" t="s">
        <v>2696</v>
      </c>
      <c r="BU370" s="83" t="s">
        <v>2699</v>
      </c>
      <c r="BV370" s="83" t="s">
        <v>2697</v>
      </c>
      <c r="BW370" s="83" t="s">
        <v>2693</v>
      </c>
      <c r="BX370" s="83" t="s">
        <v>2696</v>
      </c>
      <c r="BY370" s="83" t="s">
        <v>2693</v>
      </c>
      <c r="BZ370" s="83" t="s">
        <v>2699</v>
      </c>
      <c r="CA370" s="83" t="s">
        <v>2693</v>
      </c>
      <c r="CB370" s="83" t="s">
        <v>2694</v>
      </c>
      <c r="CC370" s="83" t="s">
        <v>2696</v>
      </c>
      <c r="CD370" s="83" t="s">
        <v>2696</v>
      </c>
      <c r="CF370" s="83" t="s">
        <v>928</v>
      </c>
      <c r="CG370" s="83" t="s">
        <v>930</v>
      </c>
      <c r="CH370" s="83" t="s">
        <v>2697</v>
      </c>
      <c r="CI370" s="83" t="s">
        <v>648</v>
      </c>
      <c r="CJ370" s="83" t="s">
        <v>2757</v>
      </c>
      <c r="CK370" s="144">
        <v>0</v>
      </c>
      <c r="CL370"/>
    </row>
    <row r="371" spans="1:90">
      <c r="A371" s="83" t="s">
        <v>3485</v>
      </c>
      <c r="B371" s="83" t="s">
        <v>3486</v>
      </c>
      <c r="D371" s="83" t="s">
        <v>688</v>
      </c>
      <c r="E371" s="83" t="s">
        <v>3487</v>
      </c>
      <c r="F371" s="83" t="s">
        <v>1575</v>
      </c>
      <c r="G371" s="83" t="s">
        <v>1185</v>
      </c>
      <c r="H371" s="83" t="s">
        <v>1201</v>
      </c>
      <c r="I371" s="83" t="s">
        <v>1202</v>
      </c>
      <c r="J371" s="83" t="s">
        <v>1203</v>
      </c>
      <c r="K371" s="83" t="s">
        <v>565</v>
      </c>
      <c r="L371" s="83" t="s">
        <v>398</v>
      </c>
      <c r="M371" s="83" t="s">
        <v>399</v>
      </c>
      <c r="N371" s="83" t="s">
        <v>3057</v>
      </c>
      <c r="O371" s="83" t="s">
        <v>106</v>
      </c>
      <c r="P371" s="83">
        <v>9</v>
      </c>
      <c r="Q371" s="83" t="s">
        <v>106</v>
      </c>
      <c r="R371" s="83" t="s">
        <v>2799</v>
      </c>
      <c r="S371" s="83" t="s">
        <v>2736</v>
      </c>
      <c r="T371" s="83" t="s">
        <v>2703</v>
      </c>
      <c r="U371" s="83" t="s">
        <v>401</v>
      </c>
      <c r="AC371" s="83" t="s">
        <v>401</v>
      </c>
      <c r="AD371" s="83">
        <v>7000</v>
      </c>
      <c r="AF371" s="83">
        <v>4000</v>
      </c>
      <c r="AJ371" s="83">
        <v>1</v>
      </c>
      <c r="AK371" s="83">
        <v>1</v>
      </c>
      <c r="AL371" s="83">
        <v>280</v>
      </c>
      <c r="AM371" s="83" t="s">
        <v>2693</v>
      </c>
      <c r="BK371" s="83" t="s">
        <v>2694</v>
      </c>
      <c r="BL371" s="83" t="s">
        <v>2693</v>
      </c>
      <c r="BM371" s="83" t="s">
        <v>2693</v>
      </c>
      <c r="BN371" s="83" t="s">
        <v>2698</v>
      </c>
      <c r="BO371" s="83" t="s">
        <v>2697</v>
      </c>
      <c r="BP371" s="83" t="s">
        <v>2697</v>
      </c>
      <c r="BQ371" s="83" t="s">
        <v>2699</v>
      </c>
      <c r="BR371" s="83" t="s">
        <v>2693</v>
      </c>
      <c r="BS371" s="83" t="s">
        <v>2699</v>
      </c>
      <c r="BT371" s="83" t="s">
        <v>2696</v>
      </c>
      <c r="BU371" s="83" t="s">
        <v>2699</v>
      </c>
      <c r="BV371" s="83" t="s">
        <v>2697</v>
      </c>
      <c r="BW371" s="83" t="s">
        <v>2693</v>
      </c>
      <c r="BX371" s="83" t="s">
        <v>2696</v>
      </c>
      <c r="BY371" s="83" t="s">
        <v>2693</v>
      </c>
      <c r="BZ371" s="83" t="s">
        <v>2699</v>
      </c>
      <c r="CA371" s="83" t="s">
        <v>2693</v>
      </c>
      <c r="CB371" s="83" t="s">
        <v>2694</v>
      </c>
      <c r="CC371" s="83" t="s">
        <v>2696</v>
      </c>
      <c r="CD371" s="83" t="s">
        <v>2696</v>
      </c>
      <c r="CF371" s="83" t="s">
        <v>1079</v>
      </c>
      <c r="CG371" s="83" t="s">
        <v>1080</v>
      </c>
      <c r="CH371" s="83" t="s">
        <v>2697</v>
      </c>
      <c r="CI371" s="83" t="s">
        <v>648</v>
      </c>
      <c r="CJ371" s="83" t="s">
        <v>2757</v>
      </c>
      <c r="CK371" s="144">
        <v>0</v>
      </c>
      <c r="CL371"/>
    </row>
    <row r="372" spans="1:90">
      <c r="A372" s="83" t="s">
        <v>2952</v>
      </c>
      <c r="B372" s="83" t="s">
        <v>2519</v>
      </c>
      <c r="D372" s="83" t="s">
        <v>688</v>
      </c>
      <c r="E372" s="83" t="s">
        <v>2953</v>
      </c>
      <c r="F372" s="83" t="s">
        <v>1304</v>
      </c>
      <c r="G372" s="83" t="s">
        <v>2277</v>
      </c>
      <c r="H372" s="83" t="s">
        <v>1201</v>
      </c>
      <c r="I372" s="83" t="s">
        <v>1202</v>
      </c>
      <c r="J372" s="83" t="s">
        <v>1203</v>
      </c>
      <c r="K372" s="83" t="s">
        <v>565</v>
      </c>
      <c r="L372" s="83" t="s">
        <v>398</v>
      </c>
      <c r="M372" s="83" t="s">
        <v>399</v>
      </c>
      <c r="N372" s="83" t="s">
        <v>2899</v>
      </c>
      <c r="O372" s="83" t="s">
        <v>106</v>
      </c>
      <c r="P372" s="83">
        <v>0</v>
      </c>
      <c r="Q372" s="83" t="s">
        <v>106</v>
      </c>
      <c r="R372" s="83" t="s">
        <v>2694</v>
      </c>
      <c r="S372" s="87">
        <v>31412</v>
      </c>
      <c r="T372" s="83" t="s">
        <v>2843</v>
      </c>
      <c r="U372" s="83" t="s">
        <v>401</v>
      </c>
      <c r="AC372" s="83" t="s">
        <v>401</v>
      </c>
      <c r="AD372" s="83">
        <v>0</v>
      </c>
      <c r="AF372" s="83">
        <v>1400000</v>
      </c>
      <c r="AJ372" s="83">
        <v>1</v>
      </c>
      <c r="AK372" s="83">
        <v>0</v>
      </c>
      <c r="AL372" s="83">
        <v>0</v>
      </c>
      <c r="AM372" s="83" t="s">
        <v>2693</v>
      </c>
      <c r="BK372" s="83">
        <v>0</v>
      </c>
      <c r="BL372" s="83">
        <v>0</v>
      </c>
      <c r="BM372" s="83">
        <v>0</v>
      </c>
      <c r="BN372" s="83">
        <v>0</v>
      </c>
      <c r="BO372" s="83">
        <v>0</v>
      </c>
      <c r="BP372" s="83">
        <v>0</v>
      </c>
      <c r="BQ372" s="83">
        <v>0</v>
      </c>
      <c r="BR372" s="83">
        <v>0</v>
      </c>
      <c r="BS372" s="83">
        <v>0</v>
      </c>
      <c r="BT372" s="83" t="s">
        <v>2696</v>
      </c>
      <c r="BU372" s="83">
        <v>1</v>
      </c>
      <c r="BV372" s="83" t="s">
        <v>2696</v>
      </c>
      <c r="BW372" s="83">
        <v>0</v>
      </c>
      <c r="BX372" s="83" t="s">
        <v>2696</v>
      </c>
      <c r="BY372" s="83">
        <v>0</v>
      </c>
      <c r="BZ372" s="83">
        <v>0</v>
      </c>
      <c r="CA372" s="83">
        <v>0</v>
      </c>
      <c r="CB372" s="83">
        <v>0</v>
      </c>
      <c r="CC372" s="83">
        <v>0</v>
      </c>
      <c r="CD372" s="83" t="s">
        <v>2696</v>
      </c>
      <c r="CF372" s="83" t="s">
        <v>2954</v>
      </c>
      <c r="CG372" s="83" t="s">
        <v>2955</v>
      </c>
      <c r="CK372" s="144">
        <v>0</v>
      </c>
      <c r="CL372"/>
    </row>
    <row r="373" spans="1:90">
      <c r="A373" s="79" t="s">
        <v>3676</v>
      </c>
      <c r="B373" s="79" t="s">
        <v>4110</v>
      </c>
      <c r="C373" s="79"/>
      <c r="D373" s="84" t="s">
        <v>688</v>
      </c>
      <c r="E373" s="79" t="s">
        <v>4110</v>
      </c>
      <c r="F373" s="79" t="s">
        <v>3677</v>
      </c>
      <c r="G373" s="79" t="s">
        <v>2449</v>
      </c>
      <c r="H373" s="79" t="s">
        <v>1201</v>
      </c>
      <c r="I373" s="79" t="s">
        <v>1202</v>
      </c>
      <c r="J373" s="79" t="s">
        <v>1203</v>
      </c>
      <c r="K373" s="79" t="s">
        <v>565</v>
      </c>
      <c r="L373" s="79" t="s">
        <v>398</v>
      </c>
      <c r="M373" s="79" t="s">
        <v>399</v>
      </c>
      <c r="N373" s="79" t="s">
        <v>1909</v>
      </c>
      <c r="O373" s="79" t="s">
        <v>106</v>
      </c>
      <c r="P373" s="79">
        <v>4</v>
      </c>
      <c r="Q373" s="79" t="s">
        <v>106</v>
      </c>
      <c r="R373" s="79" t="s">
        <v>2727</v>
      </c>
      <c r="S373" s="79" t="s">
        <v>2764</v>
      </c>
      <c r="T373" s="79" t="s">
        <v>2703</v>
      </c>
      <c r="U373" s="79" t="s">
        <v>401</v>
      </c>
      <c r="AC373" s="79" t="s">
        <v>401</v>
      </c>
      <c r="AD373" s="79">
        <v>200000</v>
      </c>
      <c r="AE373" s="79"/>
      <c r="AF373" s="79">
        <v>0</v>
      </c>
      <c r="AG373" s="79"/>
      <c r="AH373" s="79"/>
      <c r="AI373" s="79"/>
      <c r="AJ373" s="79">
        <v>1</v>
      </c>
      <c r="AK373" s="79">
        <v>1</v>
      </c>
      <c r="AL373" s="79">
        <v>1616</v>
      </c>
      <c r="AM373" s="79" t="s">
        <v>2693</v>
      </c>
      <c r="AN373" s="79"/>
      <c r="AO373" s="79"/>
      <c r="AP373" s="79"/>
      <c r="AQ373" s="79"/>
      <c r="AR373" s="79"/>
      <c r="AS373" s="79"/>
      <c r="AT373" s="79"/>
      <c r="AU373" s="79"/>
      <c r="AV373" s="79"/>
      <c r="AW373" s="79"/>
      <c r="AX373" s="79"/>
      <c r="AY373" s="79"/>
      <c r="AZ373" s="79"/>
      <c r="BA373" s="79"/>
      <c r="BB373" s="79"/>
      <c r="BC373" s="79"/>
      <c r="BD373" s="79"/>
      <c r="BE373" s="79"/>
      <c r="BF373" s="79"/>
      <c r="BG373" s="79"/>
      <c r="BH373" s="79"/>
      <c r="BI373" s="79"/>
      <c r="BJ373" s="79"/>
      <c r="BK373" s="79" t="s">
        <v>2694</v>
      </c>
      <c r="BL373" s="79" t="s">
        <v>2695</v>
      </c>
      <c r="BM373" s="79" t="s">
        <v>2693</v>
      </c>
      <c r="BN373" s="79" t="s">
        <v>2696</v>
      </c>
      <c r="BO373" s="79" t="s">
        <v>2697</v>
      </c>
      <c r="BP373" s="79" t="s">
        <v>2698</v>
      </c>
      <c r="BQ373" s="79" t="s">
        <v>2699</v>
      </c>
      <c r="BR373" s="79" t="s">
        <v>2693</v>
      </c>
      <c r="BS373" s="79" t="s">
        <v>2699</v>
      </c>
      <c r="BT373" s="79" t="s">
        <v>2696</v>
      </c>
      <c r="BU373" s="79">
        <v>1</v>
      </c>
      <c r="BV373" s="79" t="s">
        <v>2696</v>
      </c>
      <c r="BW373" s="79" t="s">
        <v>2698</v>
      </c>
      <c r="BX373" s="79" t="s">
        <v>2696</v>
      </c>
      <c r="BY373" s="79" t="s">
        <v>2699</v>
      </c>
      <c r="BZ373" s="79" t="s">
        <v>2699</v>
      </c>
      <c r="CA373" s="79" t="s">
        <v>2699</v>
      </c>
      <c r="CB373" s="79">
        <v>9</v>
      </c>
      <c r="CC373" s="79" t="s">
        <v>2699</v>
      </c>
      <c r="CD373" s="79" t="s">
        <v>2696</v>
      </c>
      <c r="CE373" s="79"/>
      <c r="CF373" s="81" t="s">
        <v>4111</v>
      </c>
      <c r="CG373" s="81" t="s">
        <v>4107</v>
      </c>
      <c r="CH373" s="79" t="s">
        <v>2693</v>
      </c>
      <c r="CI373" s="79" t="s">
        <v>2076</v>
      </c>
      <c r="CJ373" s="79" t="s">
        <v>2701</v>
      </c>
      <c r="CK373" s="145">
        <v>0</v>
      </c>
      <c r="CL373"/>
    </row>
    <row r="374" spans="1:90">
      <c r="A374" s="83" t="s">
        <v>3488</v>
      </c>
      <c r="B374" s="83" t="s">
        <v>1044</v>
      </c>
      <c r="D374" s="83" t="s">
        <v>688</v>
      </c>
      <c r="E374" s="83" t="s">
        <v>1044</v>
      </c>
      <c r="F374" s="83" t="s">
        <v>3467</v>
      </c>
      <c r="G374" s="83" t="s">
        <v>1184</v>
      </c>
      <c r="H374" s="83" t="s">
        <v>1201</v>
      </c>
      <c r="I374" s="83" t="s">
        <v>1202</v>
      </c>
      <c r="J374" s="83" t="s">
        <v>1203</v>
      </c>
      <c r="K374" s="83" t="s">
        <v>565</v>
      </c>
      <c r="L374" s="83" t="s">
        <v>398</v>
      </c>
      <c r="M374" s="83" t="s">
        <v>399</v>
      </c>
      <c r="N374" s="83" t="s">
        <v>2792</v>
      </c>
      <c r="O374" s="83" t="s">
        <v>106</v>
      </c>
      <c r="P374" s="83">
        <v>9</v>
      </c>
      <c r="Q374" s="83" t="s">
        <v>106</v>
      </c>
      <c r="R374" s="83" t="s">
        <v>2799</v>
      </c>
      <c r="S374" s="83" t="s">
        <v>2746</v>
      </c>
      <c r="T374" s="83" t="s">
        <v>2703</v>
      </c>
      <c r="U374" s="83" t="s">
        <v>401</v>
      </c>
      <c r="AC374" s="83" t="s">
        <v>401</v>
      </c>
      <c r="AD374" s="83">
        <v>13000</v>
      </c>
      <c r="AF374" s="83">
        <v>6000</v>
      </c>
      <c r="AJ374" s="83">
        <v>1</v>
      </c>
      <c r="AK374" s="83">
        <v>1</v>
      </c>
      <c r="AL374" s="83">
        <v>480</v>
      </c>
      <c r="AM374" s="83" t="s">
        <v>2693</v>
      </c>
      <c r="BK374" s="83" t="s">
        <v>2694</v>
      </c>
      <c r="BL374" s="83" t="s">
        <v>2693</v>
      </c>
      <c r="BM374" s="83" t="s">
        <v>2698</v>
      </c>
      <c r="BN374" s="83" t="s">
        <v>2698</v>
      </c>
      <c r="BO374" s="83" t="s">
        <v>2697</v>
      </c>
      <c r="BP374" s="83" t="s">
        <v>2697</v>
      </c>
      <c r="BQ374" s="83" t="s">
        <v>2699</v>
      </c>
      <c r="BR374" s="83" t="s">
        <v>2693</v>
      </c>
      <c r="BS374" s="83" t="s">
        <v>2699</v>
      </c>
      <c r="BT374" s="83" t="s">
        <v>2696</v>
      </c>
      <c r="BU374" s="83" t="s">
        <v>2699</v>
      </c>
      <c r="BV374" s="83" t="s">
        <v>2697</v>
      </c>
      <c r="BW374" s="83" t="s">
        <v>2693</v>
      </c>
      <c r="BX374" s="83" t="s">
        <v>2696</v>
      </c>
      <c r="BY374" s="83" t="s">
        <v>2693</v>
      </c>
      <c r="BZ374" s="83" t="s">
        <v>2699</v>
      </c>
      <c r="CA374" s="83" t="s">
        <v>2693</v>
      </c>
      <c r="CB374" s="83" t="s">
        <v>2694</v>
      </c>
      <c r="CC374" s="83" t="s">
        <v>2696</v>
      </c>
      <c r="CD374" s="83" t="s">
        <v>2696</v>
      </c>
      <c r="CF374" s="83" t="s">
        <v>1108</v>
      </c>
      <c r="CG374" s="83" t="s">
        <v>1109</v>
      </c>
      <c r="CH374" s="83" t="s">
        <v>2697</v>
      </c>
      <c r="CI374" s="83" t="s">
        <v>648</v>
      </c>
      <c r="CJ374" s="83" t="s">
        <v>2757</v>
      </c>
      <c r="CK374" s="144">
        <v>0</v>
      </c>
      <c r="CL374"/>
    </row>
    <row r="375" spans="1:90">
      <c r="A375" s="83" t="s">
        <v>3489</v>
      </c>
      <c r="B375" s="83" t="s">
        <v>3487</v>
      </c>
      <c r="D375" s="83" t="s">
        <v>688</v>
      </c>
      <c r="E375" s="83" t="s">
        <v>2423</v>
      </c>
      <c r="F375" s="83" t="s">
        <v>3490</v>
      </c>
      <c r="G375" s="83" t="s">
        <v>1186</v>
      </c>
      <c r="H375" s="83" t="s">
        <v>1201</v>
      </c>
      <c r="I375" s="83" t="s">
        <v>1202</v>
      </c>
      <c r="J375" s="83" t="s">
        <v>1203</v>
      </c>
      <c r="K375" s="83" t="s">
        <v>565</v>
      </c>
      <c r="L375" s="83" t="s">
        <v>398</v>
      </c>
      <c r="M375" s="83" t="s">
        <v>399</v>
      </c>
      <c r="N375" s="83" t="s">
        <v>3417</v>
      </c>
      <c r="O375" s="83" t="s">
        <v>106</v>
      </c>
      <c r="P375" s="83">
        <v>0</v>
      </c>
      <c r="Q375" s="83" t="s">
        <v>106</v>
      </c>
      <c r="R375" s="83" t="s">
        <v>2799</v>
      </c>
      <c r="S375" s="83" t="s">
        <v>2714</v>
      </c>
      <c r="T375" s="83" t="s">
        <v>2703</v>
      </c>
      <c r="U375" s="83" t="s">
        <v>401</v>
      </c>
      <c r="AC375" s="83" t="s">
        <v>401</v>
      </c>
      <c r="AD375" s="83">
        <v>0</v>
      </c>
      <c r="AF375" s="83">
        <v>50000</v>
      </c>
      <c r="AJ375" s="83">
        <v>1</v>
      </c>
      <c r="AK375" s="83">
        <v>0</v>
      </c>
      <c r="AL375" s="83">
        <v>0</v>
      </c>
      <c r="AM375" s="83" t="s">
        <v>2693</v>
      </c>
      <c r="BK375" s="83">
        <v>0</v>
      </c>
      <c r="BL375" s="83">
        <v>0</v>
      </c>
      <c r="BM375" s="83">
        <v>0</v>
      </c>
      <c r="BN375" s="83">
        <v>0</v>
      </c>
      <c r="BO375" s="83">
        <v>0</v>
      </c>
      <c r="BP375" s="83">
        <v>0</v>
      </c>
      <c r="BQ375" s="83">
        <v>0</v>
      </c>
      <c r="BR375" s="83">
        <v>0</v>
      </c>
      <c r="BS375" s="83">
        <v>0</v>
      </c>
      <c r="BT375" s="83">
        <v>0</v>
      </c>
      <c r="BU375" s="83">
        <v>1</v>
      </c>
      <c r="BV375" s="83">
        <v>0</v>
      </c>
      <c r="BW375" s="83">
        <v>0</v>
      </c>
      <c r="BX375" s="83">
        <v>0</v>
      </c>
      <c r="BY375" s="83">
        <v>0</v>
      </c>
      <c r="BZ375" s="83">
        <v>0</v>
      </c>
      <c r="CA375" s="83">
        <v>0</v>
      </c>
      <c r="CB375" s="83">
        <v>0</v>
      </c>
      <c r="CC375" s="83">
        <v>0</v>
      </c>
      <c r="CD375" s="83">
        <v>0</v>
      </c>
      <c r="CF375" s="83" t="s">
        <v>874</v>
      </c>
      <c r="CG375" s="83" t="s">
        <v>875</v>
      </c>
      <c r="CK375" s="144">
        <v>0</v>
      </c>
      <c r="CL375"/>
    </row>
    <row r="376" spans="1:90">
      <c r="A376" s="83" t="s">
        <v>881</v>
      </c>
      <c r="B376" s="83" t="s">
        <v>2411</v>
      </c>
      <c r="D376" s="83" t="s">
        <v>688</v>
      </c>
      <c r="E376" s="83" t="s">
        <v>2412</v>
      </c>
      <c r="F376" s="83" t="s">
        <v>3425</v>
      </c>
      <c r="G376" s="83" t="s">
        <v>1155</v>
      </c>
      <c r="H376" s="83" t="s">
        <v>1201</v>
      </c>
      <c r="I376" s="83" t="s">
        <v>1202</v>
      </c>
      <c r="J376" s="83" t="s">
        <v>1203</v>
      </c>
      <c r="K376" s="83" t="s">
        <v>565</v>
      </c>
      <c r="L376" s="83" t="s">
        <v>398</v>
      </c>
      <c r="M376" s="83" t="s">
        <v>399</v>
      </c>
      <c r="N376" s="83" t="s">
        <v>3057</v>
      </c>
      <c r="O376" s="83" t="s">
        <v>106</v>
      </c>
      <c r="P376" s="83">
        <v>5</v>
      </c>
      <c r="Q376" s="83" t="s">
        <v>106</v>
      </c>
      <c r="R376" s="83" t="s">
        <v>2799</v>
      </c>
      <c r="S376" s="83" t="s">
        <v>2714</v>
      </c>
      <c r="T376" s="83" t="s">
        <v>2703</v>
      </c>
      <c r="U376" s="83" t="s">
        <v>401</v>
      </c>
      <c r="AC376" s="83" t="s">
        <v>401</v>
      </c>
      <c r="AD376" s="83">
        <v>3642000</v>
      </c>
      <c r="AF376" s="83">
        <v>275000</v>
      </c>
      <c r="AJ376" s="83">
        <v>1</v>
      </c>
      <c r="AK376" s="83">
        <v>1</v>
      </c>
      <c r="AL376" s="83">
        <v>14839</v>
      </c>
      <c r="AM376" s="83" t="s">
        <v>2693</v>
      </c>
      <c r="BK376" s="83" t="s">
        <v>2694</v>
      </c>
      <c r="BL376" s="83" t="s">
        <v>2697</v>
      </c>
      <c r="BM376" s="83" t="s">
        <v>2698</v>
      </c>
      <c r="BN376" s="83" t="s">
        <v>2698</v>
      </c>
      <c r="BO376" s="83" t="s">
        <v>2697</v>
      </c>
      <c r="BP376" s="83" t="s">
        <v>2699</v>
      </c>
      <c r="BQ376" s="83" t="s">
        <v>2699</v>
      </c>
      <c r="BR376" s="83" t="s">
        <v>2693</v>
      </c>
      <c r="BS376" s="83" t="s">
        <v>2699</v>
      </c>
      <c r="BT376" s="83" t="s">
        <v>2696</v>
      </c>
      <c r="BU376" s="83" t="s">
        <v>2699</v>
      </c>
      <c r="BV376" s="83" t="s">
        <v>2697</v>
      </c>
      <c r="BW376" s="83" t="s">
        <v>2698</v>
      </c>
      <c r="BX376" s="83" t="s">
        <v>2696</v>
      </c>
      <c r="BY376" s="83" t="s">
        <v>2699</v>
      </c>
      <c r="BZ376" s="83" t="s">
        <v>2699</v>
      </c>
      <c r="CA376" s="83" t="s">
        <v>2693</v>
      </c>
      <c r="CB376" s="83">
        <v>9</v>
      </c>
      <c r="CC376" s="83" t="s">
        <v>2699</v>
      </c>
      <c r="CD376" s="83" t="s">
        <v>2699</v>
      </c>
      <c r="CF376" s="83" t="s">
        <v>879</v>
      </c>
      <c r="CG376" s="83" t="s">
        <v>880</v>
      </c>
      <c r="CH376" s="83" t="s">
        <v>2725</v>
      </c>
      <c r="CI376" s="83" t="s">
        <v>1358</v>
      </c>
      <c r="CJ376" s="83" t="s">
        <v>2726</v>
      </c>
      <c r="CK376" s="144">
        <v>3</v>
      </c>
      <c r="CL376"/>
    </row>
    <row r="377" spans="1:90">
      <c r="A377" s="83" t="s">
        <v>881</v>
      </c>
      <c r="B377" s="83" t="s">
        <v>2411</v>
      </c>
      <c r="D377" s="83" t="s">
        <v>673</v>
      </c>
      <c r="E377" s="83" t="s">
        <v>882</v>
      </c>
      <c r="F377" s="83" t="s">
        <v>3425</v>
      </c>
      <c r="G377" s="83" t="s">
        <v>1155</v>
      </c>
      <c r="H377" s="83" t="s">
        <v>1201</v>
      </c>
      <c r="I377" s="83" t="s">
        <v>1202</v>
      </c>
      <c r="J377" s="83" t="s">
        <v>1203</v>
      </c>
      <c r="K377" s="83" t="s">
        <v>565</v>
      </c>
      <c r="L377" s="83" t="s">
        <v>398</v>
      </c>
      <c r="M377" s="83" t="s">
        <v>399</v>
      </c>
      <c r="N377" s="83" t="s">
        <v>3057</v>
      </c>
      <c r="O377" s="83" t="s">
        <v>106</v>
      </c>
      <c r="P377" s="83">
        <v>5</v>
      </c>
      <c r="Q377" s="83" t="s">
        <v>106</v>
      </c>
      <c r="R377" s="83" t="s">
        <v>2799</v>
      </c>
      <c r="S377" s="83" t="s">
        <v>2714</v>
      </c>
      <c r="T377" s="83" t="s">
        <v>2703</v>
      </c>
      <c r="U377" s="83" t="s">
        <v>401</v>
      </c>
      <c r="AC377" s="83" t="s">
        <v>401</v>
      </c>
      <c r="AD377" s="83">
        <v>4034000</v>
      </c>
      <c r="AF377" s="83">
        <v>187000</v>
      </c>
      <c r="AJ377" s="83">
        <v>1</v>
      </c>
      <c r="AK377" s="83">
        <v>1</v>
      </c>
      <c r="AL377" s="83">
        <v>20164</v>
      </c>
      <c r="AM377" s="83" t="s">
        <v>2693</v>
      </c>
      <c r="BK377" s="83" t="s">
        <v>2694</v>
      </c>
      <c r="BL377" s="83" t="s">
        <v>2697</v>
      </c>
      <c r="BM377" s="83" t="s">
        <v>2698</v>
      </c>
      <c r="BN377" s="83" t="s">
        <v>2698</v>
      </c>
      <c r="BO377" s="83" t="s">
        <v>2697</v>
      </c>
      <c r="BP377" s="83" t="s">
        <v>2699</v>
      </c>
      <c r="BQ377" s="83" t="s">
        <v>2699</v>
      </c>
      <c r="BR377" s="83" t="s">
        <v>2693</v>
      </c>
      <c r="BS377" s="83" t="s">
        <v>2699</v>
      </c>
      <c r="BT377" s="83" t="s">
        <v>2696</v>
      </c>
      <c r="BU377" s="83" t="s">
        <v>2699</v>
      </c>
      <c r="BV377" s="83" t="s">
        <v>2697</v>
      </c>
      <c r="BW377" s="83" t="s">
        <v>2698</v>
      </c>
      <c r="BX377" s="83" t="s">
        <v>2696</v>
      </c>
      <c r="BY377" s="83" t="s">
        <v>2699</v>
      </c>
      <c r="BZ377" s="83" t="s">
        <v>2699</v>
      </c>
      <c r="CA377" s="83" t="s">
        <v>2693</v>
      </c>
      <c r="CB377" s="83">
        <v>9</v>
      </c>
      <c r="CC377" s="83" t="s">
        <v>2699</v>
      </c>
      <c r="CD377" s="83" t="s">
        <v>2699</v>
      </c>
      <c r="CF377" s="83" t="s">
        <v>883</v>
      </c>
      <c r="CG377" s="83" t="s">
        <v>884</v>
      </c>
      <c r="CH377" s="83" t="s">
        <v>2725</v>
      </c>
      <c r="CI377" s="83" t="s">
        <v>1358</v>
      </c>
      <c r="CJ377" s="83" t="s">
        <v>2726</v>
      </c>
      <c r="CK377" s="144">
        <v>0</v>
      </c>
      <c r="CL377"/>
    </row>
    <row r="378" spans="1:90">
      <c r="A378" s="83" t="s">
        <v>881</v>
      </c>
      <c r="B378" s="83" t="s">
        <v>2411</v>
      </c>
      <c r="D378" s="83" t="s">
        <v>714</v>
      </c>
      <c r="E378" s="83" t="s">
        <v>885</v>
      </c>
      <c r="F378" s="83" t="s">
        <v>3425</v>
      </c>
      <c r="G378" s="83" t="s">
        <v>1155</v>
      </c>
      <c r="H378" s="83" t="s">
        <v>1201</v>
      </c>
      <c r="I378" s="83" t="s">
        <v>1202</v>
      </c>
      <c r="J378" s="83" t="s">
        <v>1203</v>
      </c>
      <c r="K378" s="83" t="s">
        <v>565</v>
      </c>
      <c r="L378" s="83" t="s">
        <v>398</v>
      </c>
      <c r="M378" s="83" t="s">
        <v>399</v>
      </c>
      <c r="N378" s="83" t="s">
        <v>3057</v>
      </c>
      <c r="O378" s="83" t="s">
        <v>106</v>
      </c>
      <c r="P378" s="83">
        <v>5</v>
      </c>
      <c r="Q378" s="83" t="s">
        <v>106</v>
      </c>
      <c r="R378" s="83" t="s">
        <v>2799</v>
      </c>
      <c r="S378" s="83" t="s">
        <v>2714</v>
      </c>
      <c r="T378" s="83" t="s">
        <v>2703</v>
      </c>
      <c r="U378" s="83" t="s">
        <v>401</v>
      </c>
      <c r="AC378" s="83" t="s">
        <v>401</v>
      </c>
      <c r="AD378" s="83">
        <v>4034000</v>
      </c>
      <c r="AF378" s="83">
        <v>187000</v>
      </c>
      <c r="AJ378" s="83">
        <v>1</v>
      </c>
      <c r="AK378" s="83">
        <v>1</v>
      </c>
      <c r="AL378" s="83">
        <v>20164</v>
      </c>
      <c r="AM378" s="83" t="s">
        <v>2693</v>
      </c>
      <c r="BK378" s="83" t="s">
        <v>2694</v>
      </c>
      <c r="BL378" s="83" t="s">
        <v>2697</v>
      </c>
      <c r="BM378" s="83" t="s">
        <v>2698</v>
      </c>
      <c r="BN378" s="83" t="s">
        <v>2698</v>
      </c>
      <c r="BO378" s="83" t="s">
        <v>2697</v>
      </c>
      <c r="BP378" s="83" t="s">
        <v>2699</v>
      </c>
      <c r="BQ378" s="83" t="s">
        <v>2699</v>
      </c>
      <c r="BR378" s="83" t="s">
        <v>2693</v>
      </c>
      <c r="BS378" s="83" t="s">
        <v>2699</v>
      </c>
      <c r="BT378" s="83" t="s">
        <v>2696</v>
      </c>
      <c r="BU378" s="83" t="s">
        <v>2699</v>
      </c>
      <c r="BV378" s="83" t="s">
        <v>2697</v>
      </c>
      <c r="BW378" s="83" t="s">
        <v>2698</v>
      </c>
      <c r="BX378" s="83" t="s">
        <v>2696</v>
      </c>
      <c r="BY378" s="83" t="s">
        <v>2699</v>
      </c>
      <c r="BZ378" s="83" t="s">
        <v>2699</v>
      </c>
      <c r="CA378" s="83" t="s">
        <v>2693</v>
      </c>
      <c r="CB378" s="83">
        <v>9</v>
      </c>
      <c r="CC378" s="83" t="s">
        <v>2699</v>
      </c>
      <c r="CD378" s="83" t="s">
        <v>2699</v>
      </c>
      <c r="CF378" s="83" t="s">
        <v>886</v>
      </c>
      <c r="CG378" s="83" t="s">
        <v>887</v>
      </c>
      <c r="CH378" s="83" t="s">
        <v>2725</v>
      </c>
      <c r="CI378" s="83" t="s">
        <v>1358</v>
      </c>
      <c r="CJ378" s="83" t="s">
        <v>2726</v>
      </c>
      <c r="CK378" s="144">
        <v>0</v>
      </c>
      <c r="CL378"/>
    </row>
    <row r="379" spans="1:90">
      <c r="A379" s="83" t="s">
        <v>3491</v>
      </c>
      <c r="B379" s="83" t="s">
        <v>3492</v>
      </c>
      <c r="D379" s="83" t="s">
        <v>688</v>
      </c>
      <c r="E379" s="83" t="s">
        <v>3493</v>
      </c>
      <c r="F379" s="83" t="s">
        <v>3425</v>
      </c>
      <c r="G379" s="83" t="s">
        <v>1155</v>
      </c>
      <c r="H379" s="83" t="s">
        <v>1201</v>
      </c>
      <c r="I379" s="83" t="s">
        <v>1202</v>
      </c>
      <c r="J379" s="83" t="s">
        <v>1203</v>
      </c>
      <c r="K379" s="83" t="s">
        <v>565</v>
      </c>
      <c r="L379" s="83" t="s">
        <v>398</v>
      </c>
      <c r="M379" s="83" t="s">
        <v>399</v>
      </c>
      <c r="N379" s="83" t="s">
        <v>3057</v>
      </c>
      <c r="O379" s="83" t="s">
        <v>106</v>
      </c>
      <c r="P379" s="83">
        <v>1</v>
      </c>
      <c r="Q379" s="83" t="s">
        <v>106</v>
      </c>
      <c r="R379" s="83" t="s">
        <v>2799</v>
      </c>
      <c r="S379" s="83" t="s">
        <v>2759</v>
      </c>
      <c r="T379" s="83" t="s">
        <v>2703</v>
      </c>
      <c r="U379" s="83" t="s">
        <v>401</v>
      </c>
      <c r="AC379" s="83" t="s">
        <v>401</v>
      </c>
      <c r="AD379" s="83">
        <v>150000</v>
      </c>
      <c r="AF379" s="83">
        <v>6000</v>
      </c>
      <c r="AJ379" s="83">
        <v>1</v>
      </c>
      <c r="AK379" s="83">
        <v>1</v>
      </c>
      <c r="AL379" s="83">
        <v>1776</v>
      </c>
      <c r="AM379" s="83" t="s">
        <v>2693</v>
      </c>
      <c r="BK379" s="83" t="s">
        <v>2694</v>
      </c>
      <c r="BL379" s="83" t="s">
        <v>2704</v>
      </c>
      <c r="BM379" s="83" t="s">
        <v>2698</v>
      </c>
      <c r="BN379" s="83" t="s">
        <v>2696</v>
      </c>
      <c r="BO379" s="83" t="s">
        <v>2697</v>
      </c>
      <c r="BP379" s="83" t="s">
        <v>2698</v>
      </c>
      <c r="BQ379" s="83" t="s">
        <v>2699</v>
      </c>
      <c r="BR379" s="83" t="s">
        <v>2693</v>
      </c>
      <c r="BS379" s="83" t="s">
        <v>2699</v>
      </c>
      <c r="BT379" s="83" t="s">
        <v>2696</v>
      </c>
      <c r="BU379" s="83" t="s">
        <v>2699</v>
      </c>
      <c r="BV379" s="83" t="s">
        <v>2697</v>
      </c>
      <c r="BW379" s="83" t="s">
        <v>2697</v>
      </c>
      <c r="BX379" s="83" t="s">
        <v>2696</v>
      </c>
      <c r="BY379" s="83" t="s">
        <v>2699</v>
      </c>
      <c r="BZ379" s="83" t="s">
        <v>2699</v>
      </c>
      <c r="CA379" s="83" t="s">
        <v>2693</v>
      </c>
      <c r="CB379" s="83" t="s">
        <v>2694</v>
      </c>
      <c r="CC379" s="83" t="s">
        <v>2696</v>
      </c>
      <c r="CD379" s="83" t="s">
        <v>2696</v>
      </c>
      <c r="CF379" s="83" t="s">
        <v>924</v>
      </c>
      <c r="CG379" s="83" t="s">
        <v>925</v>
      </c>
      <c r="CH379" s="83" t="s">
        <v>2699</v>
      </c>
      <c r="CI379" s="83" t="s">
        <v>2699</v>
      </c>
      <c r="CJ379" s="83" t="s">
        <v>2734</v>
      </c>
      <c r="CK379" s="144">
        <v>0</v>
      </c>
      <c r="CL379"/>
    </row>
    <row r="380" spans="1:90">
      <c r="A380" s="83" t="s">
        <v>2981</v>
      </c>
      <c r="B380" s="83" t="s">
        <v>2532</v>
      </c>
      <c r="D380" s="83" t="s">
        <v>688</v>
      </c>
      <c r="E380" s="83" t="s">
        <v>2532</v>
      </c>
      <c r="F380" s="83" t="s">
        <v>2982</v>
      </c>
      <c r="G380" s="83" t="s">
        <v>1163</v>
      </c>
      <c r="H380" s="83" t="s">
        <v>1201</v>
      </c>
      <c r="I380" s="83" t="s">
        <v>1202</v>
      </c>
      <c r="J380" s="83" t="s">
        <v>1203</v>
      </c>
      <c r="K380" s="83" t="s">
        <v>565</v>
      </c>
      <c r="L380" s="83" t="s">
        <v>398</v>
      </c>
      <c r="M380" s="83" t="s">
        <v>399</v>
      </c>
      <c r="N380" s="83" t="s">
        <v>2899</v>
      </c>
      <c r="O380" s="83" t="s">
        <v>106</v>
      </c>
      <c r="P380" s="83">
        <v>4</v>
      </c>
      <c r="Q380" s="83" t="s">
        <v>106</v>
      </c>
      <c r="R380" s="83" t="s">
        <v>2727</v>
      </c>
      <c r="S380" s="83" t="s">
        <v>2822</v>
      </c>
      <c r="T380" s="83" t="s">
        <v>2843</v>
      </c>
      <c r="U380" s="83" t="s">
        <v>401</v>
      </c>
      <c r="AC380" s="83" t="s">
        <v>401</v>
      </c>
      <c r="AD380" s="83">
        <v>402000</v>
      </c>
      <c r="AF380" s="83">
        <v>172000</v>
      </c>
      <c r="AJ380" s="83">
        <v>1</v>
      </c>
      <c r="AK380" s="83">
        <v>1</v>
      </c>
      <c r="AL380" s="83">
        <v>6656</v>
      </c>
      <c r="AM380" s="83" t="s">
        <v>2693</v>
      </c>
      <c r="BK380" s="83" t="s">
        <v>2694</v>
      </c>
      <c r="BL380" s="83" t="s">
        <v>2704</v>
      </c>
      <c r="BM380" s="83" t="s">
        <v>2698</v>
      </c>
      <c r="BN380" s="83" t="s">
        <v>2698</v>
      </c>
      <c r="BO380" s="83" t="s">
        <v>2697</v>
      </c>
      <c r="BP380" s="83" t="s">
        <v>2698</v>
      </c>
      <c r="BQ380" s="83" t="s">
        <v>2699</v>
      </c>
      <c r="BR380" s="83" t="s">
        <v>2693</v>
      </c>
      <c r="BS380" s="83" t="s">
        <v>2699</v>
      </c>
      <c r="BT380" s="83" t="s">
        <v>2696</v>
      </c>
      <c r="BU380" s="83" t="s">
        <v>2699</v>
      </c>
      <c r="BV380" s="83" t="s">
        <v>2696</v>
      </c>
      <c r="BW380" s="83" t="s">
        <v>2698</v>
      </c>
      <c r="BX380" s="83" t="s">
        <v>2696</v>
      </c>
      <c r="BY380" s="83" t="s">
        <v>2699</v>
      </c>
      <c r="BZ380" s="83" t="s">
        <v>2693</v>
      </c>
      <c r="CA380" s="83" t="s">
        <v>2693</v>
      </c>
      <c r="CB380" s="83" t="s">
        <v>2694</v>
      </c>
      <c r="CC380" s="83" t="s">
        <v>2699</v>
      </c>
      <c r="CD380" s="83" t="s">
        <v>2696</v>
      </c>
      <c r="CF380" s="83" t="s">
        <v>2983</v>
      </c>
      <c r="CG380" s="83" t="s">
        <v>2984</v>
      </c>
      <c r="CH380" s="83" t="s">
        <v>2693</v>
      </c>
      <c r="CI380" s="83" t="s">
        <v>3992</v>
      </c>
      <c r="CJ380" s="83" t="s">
        <v>2701</v>
      </c>
      <c r="CK380" s="144">
        <v>1</v>
      </c>
      <c r="CL380"/>
    </row>
    <row r="381" spans="1:90">
      <c r="A381" s="83" t="s">
        <v>1572</v>
      </c>
      <c r="B381" s="83" t="s">
        <v>755</v>
      </c>
      <c r="D381" s="83" t="s">
        <v>688</v>
      </c>
      <c r="E381" s="83" t="s">
        <v>894</v>
      </c>
      <c r="F381" s="83" t="s">
        <v>1769</v>
      </c>
      <c r="G381" s="83" t="s">
        <v>1878</v>
      </c>
      <c r="H381" s="83" t="s">
        <v>1201</v>
      </c>
      <c r="I381" s="83" t="s">
        <v>1202</v>
      </c>
      <c r="J381" s="83" t="s">
        <v>1203</v>
      </c>
      <c r="K381" s="83" t="s">
        <v>565</v>
      </c>
      <c r="L381" s="83" t="s">
        <v>398</v>
      </c>
      <c r="M381" s="83" t="s">
        <v>399</v>
      </c>
      <c r="N381" s="83" t="s">
        <v>2711</v>
      </c>
      <c r="O381" s="83" t="s">
        <v>106</v>
      </c>
      <c r="P381" s="83">
        <v>4</v>
      </c>
      <c r="Q381" s="83" t="s">
        <v>106</v>
      </c>
      <c r="R381" s="83" t="s">
        <v>2691</v>
      </c>
      <c r="S381" s="83" t="s">
        <v>1468</v>
      </c>
      <c r="T381" s="83" t="s">
        <v>2703</v>
      </c>
      <c r="U381" s="83" t="s">
        <v>401</v>
      </c>
      <c r="AC381" s="83" t="s">
        <v>401</v>
      </c>
      <c r="AD381" s="83">
        <v>153000</v>
      </c>
      <c r="AF381" s="83">
        <v>0</v>
      </c>
      <c r="AJ381" s="83">
        <v>1</v>
      </c>
      <c r="AK381" s="83">
        <v>1</v>
      </c>
      <c r="AL381" s="83">
        <v>1020</v>
      </c>
      <c r="AM381" s="83" t="s">
        <v>2693</v>
      </c>
      <c r="BK381" s="83" t="s">
        <v>2694</v>
      </c>
      <c r="BL381" s="83" t="s">
        <v>2699</v>
      </c>
      <c r="BM381" s="83" t="s">
        <v>2697</v>
      </c>
      <c r="BN381" s="83" t="s">
        <v>2693</v>
      </c>
      <c r="BO381" s="83" t="s">
        <v>2693</v>
      </c>
      <c r="BP381" s="83" t="s">
        <v>2695</v>
      </c>
      <c r="BQ381" s="83" t="s">
        <v>2693</v>
      </c>
      <c r="BR381" s="83" t="s">
        <v>2693</v>
      </c>
      <c r="BS381" s="83" t="s">
        <v>2699</v>
      </c>
      <c r="BT381" s="83">
        <v>0</v>
      </c>
      <c r="BU381" s="83" t="s">
        <v>2699</v>
      </c>
      <c r="BV381" s="83" t="s">
        <v>2696</v>
      </c>
      <c r="BW381" s="83" t="s">
        <v>2698</v>
      </c>
      <c r="BX381" s="83" t="s">
        <v>2696</v>
      </c>
      <c r="BY381" s="83" t="s">
        <v>2699</v>
      </c>
      <c r="BZ381" s="83" t="s">
        <v>2693</v>
      </c>
      <c r="CA381" s="83" t="s">
        <v>2693</v>
      </c>
      <c r="CB381" s="83" t="s">
        <v>2694</v>
      </c>
      <c r="CC381" s="83" t="s">
        <v>2699</v>
      </c>
      <c r="CD381" s="83" t="s">
        <v>2696</v>
      </c>
      <c r="CF381" s="83" t="s">
        <v>2234</v>
      </c>
      <c r="CG381" s="83" t="s">
        <v>2235</v>
      </c>
      <c r="CH381" s="83" t="s">
        <v>2693</v>
      </c>
      <c r="CI381" s="83" t="s">
        <v>2693</v>
      </c>
      <c r="CJ381" s="83" t="s">
        <v>2701</v>
      </c>
      <c r="CK381" s="144">
        <v>0</v>
      </c>
      <c r="CL381" s="99">
        <v>156000</v>
      </c>
    </row>
    <row r="382" spans="1:90">
      <c r="A382" s="83" t="s">
        <v>1573</v>
      </c>
      <c r="B382" s="83" t="s">
        <v>1648</v>
      </c>
      <c r="D382" s="83" t="s">
        <v>714</v>
      </c>
      <c r="E382" s="83" t="s">
        <v>2718</v>
      </c>
      <c r="F382" s="83" t="s">
        <v>1770</v>
      </c>
      <c r="G382" s="83" t="s">
        <v>1879</v>
      </c>
      <c r="H382" s="83" t="s">
        <v>1201</v>
      </c>
      <c r="I382" s="83" t="s">
        <v>1202</v>
      </c>
      <c r="J382" s="83" t="s">
        <v>1203</v>
      </c>
      <c r="K382" s="83" t="s">
        <v>565</v>
      </c>
      <c r="L382" s="83" t="s">
        <v>398</v>
      </c>
      <c r="M382" s="83" t="s">
        <v>399</v>
      </c>
      <c r="N382" s="83" t="s">
        <v>2719</v>
      </c>
      <c r="O382" s="83" t="s">
        <v>106</v>
      </c>
      <c r="P382" s="83">
        <v>4</v>
      </c>
      <c r="Q382" s="83" t="s">
        <v>106</v>
      </c>
      <c r="R382" s="83" t="s">
        <v>2691</v>
      </c>
      <c r="S382" s="83" t="s">
        <v>2720</v>
      </c>
      <c r="T382" s="83" t="s">
        <v>2703</v>
      </c>
      <c r="U382" s="83" t="s">
        <v>401</v>
      </c>
      <c r="AC382" s="83" t="s">
        <v>401</v>
      </c>
      <c r="AD382" s="83">
        <v>366000</v>
      </c>
      <c r="AF382" s="83">
        <v>0</v>
      </c>
      <c r="AJ382" s="83">
        <v>1</v>
      </c>
      <c r="AK382" s="83">
        <v>1</v>
      </c>
      <c r="AL382" s="83">
        <v>1440</v>
      </c>
      <c r="AM382" s="83" t="s">
        <v>2693</v>
      </c>
      <c r="BK382" s="83" t="s">
        <v>2694</v>
      </c>
      <c r="BL382" s="83" t="s">
        <v>2697</v>
      </c>
      <c r="BM382" s="83" t="s">
        <v>2698</v>
      </c>
      <c r="BN382" s="83" t="s">
        <v>2699</v>
      </c>
      <c r="BO382" s="83" t="s">
        <v>2697</v>
      </c>
      <c r="BP382" s="83" t="s">
        <v>2695</v>
      </c>
      <c r="BQ382" s="83" t="s">
        <v>2693</v>
      </c>
      <c r="BR382" s="83" t="s">
        <v>2693</v>
      </c>
      <c r="BS382" s="83" t="s">
        <v>2699</v>
      </c>
      <c r="BT382" s="83">
        <v>0</v>
      </c>
      <c r="BU382" s="83" t="s">
        <v>2699</v>
      </c>
      <c r="BV382" s="83" t="s">
        <v>2696</v>
      </c>
      <c r="BW382" s="83" t="s">
        <v>2699</v>
      </c>
      <c r="BX382" s="83" t="s">
        <v>2696</v>
      </c>
      <c r="BY382" s="83" t="s">
        <v>2699</v>
      </c>
      <c r="BZ382" s="83" t="s">
        <v>2693</v>
      </c>
      <c r="CA382" s="83" t="s">
        <v>2693</v>
      </c>
      <c r="CB382" s="83">
        <v>9</v>
      </c>
      <c r="CC382" s="83" t="s">
        <v>2699</v>
      </c>
      <c r="CD382" s="83" t="s">
        <v>2696</v>
      </c>
      <c r="CF382" s="83" t="s">
        <v>2226</v>
      </c>
      <c r="CG382" s="83" t="s">
        <v>2721</v>
      </c>
      <c r="CH382" s="83" t="s">
        <v>2693</v>
      </c>
      <c r="CI382" s="83" t="s">
        <v>3992</v>
      </c>
      <c r="CJ382" s="83" t="s">
        <v>2701</v>
      </c>
      <c r="CK382" s="144">
        <v>0</v>
      </c>
      <c r="CL382"/>
    </row>
    <row r="383" spans="1:90">
      <c r="A383" s="83" t="s">
        <v>1573</v>
      </c>
      <c r="B383" s="83" t="s">
        <v>1648</v>
      </c>
      <c r="D383" s="83" t="s">
        <v>688</v>
      </c>
      <c r="E383" s="83" t="s">
        <v>1012</v>
      </c>
      <c r="F383" s="83" t="s">
        <v>1770</v>
      </c>
      <c r="G383" s="83" t="s">
        <v>1879</v>
      </c>
      <c r="H383" s="83" t="s">
        <v>1201</v>
      </c>
      <c r="I383" s="83" t="s">
        <v>1202</v>
      </c>
      <c r="J383" s="83" t="s">
        <v>1203</v>
      </c>
      <c r="K383" s="83" t="s">
        <v>565</v>
      </c>
      <c r="L383" s="83" t="s">
        <v>398</v>
      </c>
      <c r="M383" s="83" t="s">
        <v>399</v>
      </c>
      <c r="N383" s="83" t="s">
        <v>2719</v>
      </c>
      <c r="O383" s="83" t="s">
        <v>106</v>
      </c>
      <c r="P383" s="83">
        <v>4</v>
      </c>
      <c r="Q383" s="83" t="s">
        <v>106</v>
      </c>
      <c r="R383" s="83" t="s">
        <v>2691</v>
      </c>
      <c r="S383" s="83" t="s">
        <v>2720</v>
      </c>
      <c r="T383" s="83" t="s">
        <v>2703</v>
      </c>
      <c r="U383" s="83" t="s">
        <v>401</v>
      </c>
      <c r="AC383" s="83" t="s">
        <v>401</v>
      </c>
      <c r="AD383" s="83">
        <v>1895000</v>
      </c>
      <c r="AF383" s="83">
        <v>0</v>
      </c>
      <c r="AJ383" s="83">
        <v>1</v>
      </c>
      <c r="AK383" s="83">
        <v>1</v>
      </c>
      <c r="AL383" s="83">
        <v>14891</v>
      </c>
      <c r="AM383" s="83" t="s">
        <v>2693</v>
      </c>
      <c r="BK383" s="83" t="s">
        <v>2694</v>
      </c>
      <c r="BL383" s="83" t="s">
        <v>2704</v>
      </c>
      <c r="BM383" s="83" t="s">
        <v>2697</v>
      </c>
      <c r="BN383" s="83" t="s">
        <v>2696</v>
      </c>
      <c r="BO383" s="83" t="s">
        <v>2697</v>
      </c>
      <c r="BP383" s="83" t="s">
        <v>2695</v>
      </c>
      <c r="BQ383" s="83" t="s">
        <v>2693</v>
      </c>
      <c r="BR383" s="83" t="s">
        <v>2693</v>
      </c>
      <c r="BS383" s="83" t="s">
        <v>2699</v>
      </c>
      <c r="BT383" s="83">
        <v>0</v>
      </c>
      <c r="BU383" s="83" t="s">
        <v>2699</v>
      </c>
      <c r="BV383" s="83" t="s">
        <v>2696</v>
      </c>
      <c r="BW383" s="83" t="s">
        <v>2698</v>
      </c>
      <c r="BX383" s="83" t="s">
        <v>2696</v>
      </c>
      <c r="BY383" s="83" t="s">
        <v>2699</v>
      </c>
      <c r="BZ383" s="83" t="s">
        <v>2693</v>
      </c>
      <c r="CA383" s="83" t="s">
        <v>2693</v>
      </c>
      <c r="CB383" s="83" t="s">
        <v>2694</v>
      </c>
      <c r="CC383" s="83" t="s">
        <v>2699</v>
      </c>
      <c r="CD383" s="83" t="s">
        <v>2696</v>
      </c>
      <c r="CF383" s="83" t="s">
        <v>2223</v>
      </c>
      <c r="CG383" s="83" t="s">
        <v>2224</v>
      </c>
      <c r="CH383" s="83" t="s">
        <v>2693</v>
      </c>
      <c r="CI383" s="83" t="s">
        <v>2693</v>
      </c>
      <c r="CJ383" s="83" t="s">
        <v>2701</v>
      </c>
      <c r="CK383" s="144">
        <v>0</v>
      </c>
      <c r="CL383" s="99">
        <v>210000</v>
      </c>
    </row>
    <row r="384" spans="1:90">
      <c r="A384" s="83" t="s">
        <v>1573</v>
      </c>
      <c r="B384" s="83" t="s">
        <v>1648</v>
      </c>
      <c r="D384" s="83" t="s">
        <v>673</v>
      </c>
      <c r="E384" s="83" t="s">
        <v>894</v>
      </c>
      <c r="F384" s="83" t="s">
        <v>1770</v>
      </c>
      <c r="G384" s="83" t="s">
        <v>1879</v>
      </c>
      <c r="H384" s="83" t="s">
        <v>1201</v>
      </c>
      <c r="I384" s="83" t="s">
        <v>1202</v>
      </c>
      <c r="J384" s="83" t="s">
        <v>1203</v>
      </c>
      <c r="K384" s="83" t="s">
        <v>565</v>
      </c>
      <c r="L384" s="83" t="s">
        <v>398</v>
      </c>
      <c r="M384" s="83" t="s">
        <v>399</v>
      </c>
      <c r="N384" s="83" t="s">
        <v>2719</v>
      </c>
      <c r="O384" s="83" t="s">
        <v>106</v>
      </c>
      <c r="P384" s="83">
        <v>4</v>
      </c>
      <c r="Q384" s="83" t="s">
        <v>106</v>
      </c>
      <c r="R384" s="83" t="s">
        <v>2691</v>
      </c>
      <c r="S384" s="83" t="s">
        <v>1468</v>
      </c>
      <c r="T384" s="83" t="s">
        <v>2703</v>
      </c>
      <c r="U384" s="83" t="s">
        <v>401</v>
      </c>
      <c r="AC384" s="83" t="s">
        <v>401</v>
      </c>
      <c r="AD384" s="83">
        <v>107000</v>
      </c>
      <c r="AF384" s="83">
        <v>2000</v>
      </c>
      <c r="AJ384" s="83">
        <v>1</v>
      </c>
      <c r="AK384" s="83">
        <v>1</v>
      </c>
      <c r="AL384" s="83">
        <v>648</v>
      </c>
      <c r="AM384" s="83" t="s">
        <v>2693</v>
      </c>
      <c r="BK384" s="83" t="s">
        <v>2694</v>
      </c>
      <c r="BL384" s="83" t="s">
        <v>2699</v>
      </c>
      <c r="BM384" s="83" t="s">
        <v>2698</v>
      </c>
      <c r="BN384" s="83" t="s">
        <v>2699</v>
      </c>
      <c r="BO384" s="83" t="s">
        <v>2697</v>
      </c>
      <c r="BP384" s="83" t="s">
        <v>2695</v>
      </c>
      <c r="BQ384" s="83" t="s">
        <v>2693</v>
      </c>
      <c r="BR384" s="83" t="s">
        <v>2693</v>
      </c>
      <c r="BS384" s="83" t="s">
        <v>2699</v>
      </c>
      <c r="BT384" s="83">
        <v>0</v>
      </c>
      <c r="BU384" s="83" t="s">
        <v>2699</v>
      </c>
      <c r="BV384" s="83" t="s">
        <v>2696</v>
      </c>
      <c r="BW384" s="83" t="s">
        <v>2698</v>
      </c>
      <c r="BX384" s="83" t="s">
        <v>2696</v>
      </c>
      <c r="BY384" s="83" t="s">
        <v>2699</v>
      </c>
      <c r="BZ384" s="83" t="s">
        <v>2693</v>
      </c>
      <c r="CA384" s="83" t="s">
        <v>2693</v>
      </c>
      <c r="CB384" s="83" t="s">
        <v>2694</v>
      </c>
      <c r="CC384" s="83" t="s">
        <v>2699</v>
      </c>
      <c r="CD384" s="83" t="s">
        <v>2696</v>
      </c>
      <c r="CF384" s="83" t="s">
        <v>2225</v>
      </c>
      <c r="CG384" s="83" t="s">
        <v>2812</v>
      </c>
      <c r="CH384" s="83" t="s">
        <v>2693</v>
      </c>
      <c r="CI384" s="83" t="s">
        <v>2693</v>
      </c>
      <c r="CJ384" s="83" t="s">
        <v>2701</v>
      </c>
      <c r="CK384" s="144">
        <v>0</v>
      </c>
      <c r="CL384"/>
    </row>
    <row r="385" spans="1:90">
      <c r="A385" s="83" t="s">
        <v>3494</v>
      </c>
      <c r="B385" s="83" t="s">
        <v>2413</v>
      </c>
      <c r="D385" s="83" t="s">
        <v>688</v>
      </c>
      <c r="E385" s="83" t="s">
        <v>811</v>
      </c>
      <c r="F385" s="83" t="s">
        <v>3495</v>
      </c>
      <c r="G385" s="83" t="s">
        <v>1155</v>
      </c>
      <c r="H385" s="83" t="s">
        <v>1201</v>
      </c>
      <c r="I385" s="83" t="s">
        <v>1202</v>
      </c>
      <c r="J385" s="83" t="s">
        <v>1203</v>
      </c>
      <c r="K385" s="83" t="s">
        <v>565</v>
      </c>
      <c r="L385" s="83" t="s">
        <v>398</v>
      </c>
      <c r="M385" s="83" t="s">
        <v>399</v>
      </c>
      <c r="N385" s="83" t="s">
        <v>3057</v>
      </c>
      <c r="O385" s="83" t="s">
        <v>106</v>
      </c>
      <c r="P385" s="83">
        <v>1</v>
      </c>
      <c r="Q385" s="83" t="s">
        <v>106</v>
      </c>
      <c r="R385" s="83" t="s">
        <v>2767</v>
      </c>
      <c r="S385" s="83" t="s">
        <v>2714</v>
      </c>
      <c r="T385" s="83" t="s">
        <v>2703</v>
      </c>
      <c r="U385" s="83" t="s">
        <v>401</v>
      </c>
      <c r="AC385" s="83" t="s">
        <v>401</v>
      </c>
      <c r="AD385" s="83">
        <v>11000</v>
      </c>
      <c r="AF385" s="83">
        <v>0</v>
      </c>
      <c r="AJ385" s="83">
        <v>1</v>
      </c>
      <c r="AK385" s="83">
        <v>1</v>
      </c>
      <c r="AL385" s="83">
        <v>512</v>
      </c>
      <c r="AM385" s="83" t="s">
        <v>2693</v>
      </c>
      <c r="BK385" s="83" t="s">
        <v>2694</v>
      </c>
      <c r="BL385" s="83" t="s">
        <v>2704</v>
      </c>
      <c r="BM385" s="83" t="s">
        <v>2698</v>
      </c>
      <c r="BN385" s="83" t="s">
        <v>2696</v>
      </c>
      <c r="BO385" s="83" t="s">
        <v>2697</v>
      </c>
      <c r="BP385" s="83" t="s">
        <v>2698</v>
      </c>
      <c r="BQ385" s="83" t="s">
        <v>2699</v>
      </c>
      <c r="BR385" s="83" t="s">
        <v>2693</v>
      </c>
      <c r="BS385" s="83" t="s">
        <v>2699</v>
      </c>
      <c r="BT385" s="83" t="s">
        <v>2696</v>
      </c>
      <c r="BU385" s="83" t="s">
        <v>2699</v>
      </c>
      <c r="BV385" s="83" t="s">
        <v>2697</v>
      </c>
      <c r="BW385" s="83" t="s">
        <v>2693</v>
      </c>
      <c r="BX385" s="83" t="s">
        <v>2696</v>
      </c>
      <c r="BY385" s="83" t="s">
        <v>2699</v>
      </c>
      <c r="BZ385" s="83" t="s">
        <v>2699</v>
      </c>
      <c r="CA385" s="83" t="s">
        <v>2693</v>
      </c>
      <c r="CB385" s="83" t="s">
        <v>2694</v>
      </c>
      <c r="CC385" s="83" t="s">
        <v>2696</v>
      </c>
      <c r="CD385" s="83" t="s">
        <v>2696</v>
      </c>
      <c r="CF385" s="83" t="s">
        <v>809</v>
      </c>
      <c r="CG385" s="83" t="s">
        <v>810</v>
      </c>
      <c r="CH385" s="83" t="s">
        <v>2699</v>
      </c>
      <c r="CI385" s="83" t="s">
        <v>2699</v>
      </c>
      <c r="CJ385" s="83" t="s">
        <v>2734</v>
      </c>
      <c r="CK385" s="144">
        <v>0</v>
      </c>
      <c r="CL385" s="99">
        <v>93000</v>
      </c>
    </row>
    <row r="386" spans="1:90">
      <c r="A386" s="83" t="s">
        <v>3200</v>
      </c>
      <c r="B386" s="83" t="s">
        <v>2662</v>
      </c>
      <c r="D386" s="83" t="s">
        <v>688</v>
      </c>
      <c r="E386" s="83" t="s">
        <v>894</v>
      </c>
      <c r="F386" s="83" t="s">
        <v>3201</v>
      </c>
      <c r="G386" s="83" t="s">
        <v>2309</v>
      </c>
      <c r="H386" s="83" t="s">
        <v>1201</v>
      </c>
      <c r="I386" s="83" t="s">
        <v>1202</v>
      </c>
      <c r="J386" s="83" t="s">
        <v>1203</v>
      </c>
      <c r="K386" s="83" t="s">
        <v>565</v>
      </c>
      <c r="L386" s="83" t="s">
        <v>398</v>
      </c>
      <c r="M386" s="83" t="s">
        <v>399</v>
      </c>
      <c r="N386" s="83" t="s">
        <v>2833</v>
      </c>
      <c r="O386" s="83" t="s">
        <v>106</v>
      </c>
      <c r="P386" s="83">
        <v>4</v>
      </c>
      <c r="Q386" s="83" t="s">
        <v>106</v>
      </c>
      <c r="R386" s="83" t="s">
        <v>2727</v>
      </c>
      <c r="S386" s="83" t="s">
        <v>1446</v>
      </c>
      <c r="T386" s="83" t="s">
        <v>2843</v>
      </c>
      <c r="U386" s="83" t="s">
        <v>401</v>
      </c>
      <c r="AC386" s="83" t="s">
        <v>401</v>
      </c>
      <c r="AD386" s="83">
        <v>111000</v>
      </c>
      <c r="AF386" s="83">
        <v>3000</v>
      </c>
      <c r="AJ386" s="83">
        <v>1</v>
      </c>
      <c r="AK386" s="83">
        <v>1</v>
      </c>
      <c r="AL386" s="83">
        <v>792</v>
      </c>
      <c r="AM386" s="83" t="s">
        <v>2693</v>
      </c>
      <c r="BK386" s="83" t="s">
        <v>2694</v>
      </c>
      <c r="BL386" s="83" t="s">
        <v>2693</v>
      </c>
      <c r="BM386" s="83" t="s">
        <v>2698</v>
      </c>
      <c r="BN386" s="83" t="s">
        <v>2698</v>
      </c>
      <c r="BO386" s="83" t="s">
        <v>2697</v>
      </c>
      <c r="BP386" s="83" t="s">
        <v>2698</v>
      </c>
      <c r="BQ386" s="83" t="s">
        <v>2699</v>
      </c>
      <c r="BR386" s="83" t="s">
        <v>2693</v>
      </c>
      <c r="BS386" s="83" t="s">
        <v>2699</v>
      </c>
      <c r="BT386" s="83" t="s">
        <v>2696</v>
      </c>
      <c r="BU386" s="83" t="s">
        <v>2699</v>
      </c>
      <c r="BV386" s="83" t="s">
        <v>2696</v>
      </c>
      <c r="BW386" s="83" t="s">
        <v>2698</v>
      </c>
      <c r="BX386" s="83" t="s">
        <v>2696</v>
      </c>
      <c r="BY386" s="83" t="s">
        <v>2699</v>
      </c>
      <c r="BZ386" s="83" t="s">
        <v>2693</v>
      </c>
      <c r="CA386" s="83" t="s">
        <v>2693</v>
      </c>
      <c r="CB386" s="83" t="s">
        <v>2694</v>
      </c>
      <c r="CC386" s="83" t="s">
        <v>2699</v>
      </c>
      <c r="CD386" s="83" t="s">
        <v>2696</v>
      </c>
      <c r="CF386" s="83" t="s">
        <v>2074</v>
      </c>
      <c r="CG386" s="83" t="s">
        <v>3202</v>
      </c>
      <c r="CH386" s="83" t="s">
        <v>2693</v>
      </c>
      <c r="CI386" s="83" t="s">
        <v>3992</v>
      </c>
      <c r="CJ386" s="83" t="s">
        <v>2701</v>
      </c>
      <c r="CK386" s="144">
        <v>0</v>
      </c>
      <c r="CL386" s="99">
        <v>171000</v>
      </c>
    </row>
    <row r="387" spans="1:90">
      <c r="A387" s="83" t="s">
        <v>1574</v>
      </c>
      <c r="B387" s="83" t="s">
        <v>1649</v>
      </c>
      <c r="D387" s="83" t="s">
        <v>688</v>
      </c>
      <c r="E387" s="83" t="s">
        <v>2723</v>
      </c>
      <c r="F387" s="83" t="s">
        <v>1768</v>
      </c>
      <c r="G387" s="83" t="s">
        <v>1850</v>
      </c>
      <c r="H387" s="83" t="s">
        <v>1201</v>
      </c>
      <c r="I387" s="83" t="s">
        <v>1202</v>
      </c>
      <c r="J387" s="83" t="s">
        <v>1203</v>
      </c>
      <c r="K387" s="83" t="s">
        <v>565</v>
      </c>
      <c r="L387" s="83" t="s">
        <v>398</v>
      </c>
      <c r="M387" s="83" t="s">
        <v>399</v>
      </c>
      <c r="N387" s="83" t="s">
        <v>2709</v>
      </c>
      <c r="O387" s="83" t="s">
        <v>106</v>
      </c>
      <c r="P387" s="83">
        <v>5</v>
      </c>
      <c r="Q387" s="83" t="s">
        <v>106</v>
      </c>
      <c r="R387" s="83" t="s">
        <v>2691</v>
      </c>
      <c r="S387" s="83" t="s">
        <v>2724</v>
      </c>
      <c r="T387" s="83" t="s">
        <v>2703</v>
      </c>
      <c r="U387" s="83" t="s">
        <v>401</v>
      </c>
      <c r="AC387" s="83" t="s">
        <v>401</v>
      </c>
      <c r="AD387" s="83">
        <v>108000</v>
      </c>
      <c r="AF387" s="83">
        <v>2000</v>
      </c>
      <c r="AJ387" s="83">
        <v>1</v>
      </c>
      <c r="AK387" s="83">
        <v>1</v>
      </c>
      <c r="AL387" s="83">
        <v>600</v>
      </c>
      <c r="AM387" s="83" t="s">
        <v>2693</v>
      </c>
      <c r="BK387" s="83" t="s">
        <v>2694</v>
      </c>
      <c r="BL387" s="83" t="s">
        <v>2698</v>
      </c>
      <c r="BM387" s="83" t="s">
        <v>2693</v>
      </c>
      <c r="BN387" s="83" t="s">
        <v>2698</v>
      </c>
      <c r="BO387" s="83" t="s">
        <v>2697</v>
      </c>
      <c r="BP387" s="83" t="s">
        <v>2699</v>
      </c>
      <c r="BQ387" s="83" t="s">
        <v>2693</v>
      </c>
      <c r="BR387" s="83" t="s">
        <v>2693</v>
      </c>
      <c r="BS387" s="83" t="s">
        <v>2699</v>
      </c>
      <c r="BT387" s="83">
        <v>0</v>
      </c>
      <c r="BU387" s="83" t="s">
        <v>2699</v>
      </c>
      <c r="BV387" s="83" t="s">
        <v>2696</v>
      </c>
      <c r="BW387" s="83" t="s">
        <v>2699</v>
      </c>
      <c r="BX387" s="83" t="s">
        <v>2696</v>
      </c>
      <c r="BY387" s="83" t="s">
        <v>2699</v>
      </c>
      <c r="BZ387" s="83" t="s">
        <v>2693</v>
      </c>
      <c r="CA387" s="83" t="s">
        <v>2693</v>
      </c>
      <c r="CB387" s="83">
        <v>9</v>
      </c>
      <c r="CC387" s="83" t="s">
        <v>2699</v>
      </c>
      <c r="CD387" s="83" t="s">
        <v>2696</v>
      </c>
      <c r="CF387" s="83" t="s">
        <v>2065</v>
      </c>
      <c r="CG387" s="83" t="s">
        <v>2066</v>
      </c>
      <c r="CH387" s="83" t="s">
        <v>2725</v>
      </c>
      <c r="CI387" s="83" t="s">
        <v>1358</v>
      </c>
      <c r="CJ387" s="83" t="s">
        <v>2726</v>
      </c>
      <c r="CK387" s="144">
        <v>0</v>
      </c>
      <c r="CL387"/>
    </row>
    <row r="388" spans="1:90">
      <c r="A388" s="83" t="s">
        <v>1574</v>
      </c>
      <c r="B388" s="83" t="s">
        <v>1649</v>
      </c>
      <c r="D388" s="83" t="s">
        <v>673</v>
      </c>
      <c r="E388" s="83" t="s">
        <v>2718</v>
      </c>
      <c r="F388" s="83" t="s">
        <v>1768</v>
      </c>
      <c r="G388" s="83" t="s">
        <v>1850</v>
      </c>
      <c r="H388" s="83" t="s">
        <v>1201</v>
      </c>
      <c r="I388" s="83" t="s">
        <v>1202</v>
      </c>
      <c r="J388" s="83" t="s">
        <v>1203</v>
      </c>
      <c r="K388" s="83" t="s">
        <v>565</v>
      </c>
      <c r="L388" s="83" t="s">
        <v>398</v>
      </c>
      <c r="M388" s="83" t="s">
        <v>399</v>
      </c>
      <c r="N388" s="83" t="s">
        <v>2709</v>
      </c>
      <c r="O388" s="83" t="s">
        <v>106</v>
      </c>
      <c r="P388" s="83">
        <v>5</v>
      </c>
      <c r="Q388" s="83" t="s">
        <v>106</v>
      </c>
      <c r="R388" s="83" t="s">
        <v>2727</v>
      </c>
      <c r="S388" s="83" t="s">
        <v>2724</v>
      </c>
      <c r="T388" s="83" t="s">
        <v>2703</v>
      </c>
      <c r="U388" s="83" t="s">
        <v>401</v>
      </c>
      <c r="AC388" s="83" t="s">
        <v>401</v>
      </c>
      <c r="AD388" s="83">
        <v>488000</v>
      </c>
      <c r="AF388" s="83">
        <v>0</v>
      </c>
      <c r="AJ388" s="83">
        <v>1</v>
      </c>
      <c r="AK388" s="83">
        <v>1</v>
      </c>
      <c r="AL388" s="83">
        <v>600</v>
      </c>
      <c r="AM388" s="83" t="s">
        <v>2693</v>
      </c>
      <c r="BK388" s="83" t="s">
        <v>2694</v>
      </c>
      <c r="BL388" s="83" t="s">
        <v>2698</v>
      </c>
      <c r="BM388" s="83" t="s">
        <v>2693</v>
      </c>
      <c r="BN388" s="83" t="s">
        <v>2698</v>
      </c>
      <c r="BO388" s="83" t="s">
        <v>2697</v>
      </c>
      <c r="BP388" s="83" t="s">
        <v>2699</v>
      </c>
      <c r="BQ388" s="83" t="s">
        <v>2693</v>
      </c>
      <c r="BR388" s="83" t="s">
        <v>2693</v>
      </c>
      <c r="BS388" s="83" t="s">
        <v>2699</v>
      </c>
      <c r="BT388" s="83">
        <v>0</v>
      </c>
      <c r="BU388" s="83" t="s">
        <v>2699</v>
      </c>
      <c r="BV388" s="83" t="s">
        <v>2696</v>
      </c>
      <c r="BW388" s="83" t="s">
        <v>2699</v>
      </c>
      <c r="BX388" s="83" t="s">
        <v>2696</v>
      </c>
      <c r="BY388" s="83" t="s">
        <v>2699</v>
      </c>
      <c r="BZ388" s="83" t="s">
        <v>2693</v>
      </c>
      <c r="CA388" s="83" t="s">
        <v>2693</v>
      </c>
      <c r="CB388" s="83">
        <v>9</v>
      </c>
      <c r="CC388" s="83" t="s">
        <v>2699</v>
      </c>
      <c r="CD388" s="83" t="s">
        <v>2696</v>
      </c>
      <c r="CF388" s="83" t="s">
        <v>2067</v>
      </c>
      <c r="CG388" s="83" t="s">
        <v>2068</v>
      </c>
      <c r="CH388" s="83" t="s">
        <v>2725</v>
      </c>
      <c r="CI388" s="83" t="s">
        <v>1358</v>
      </c>
      <c r="CJ388" s="83" t="s">
        <v>2726</v>
      </c>
      <c r="CK388" s="144">
        <v>0</v>
      </c>
      <c r="CL388"/>
    </row>
    <row r="389" spans="1:90">
      <c r="A389" s="83" t="s">
        <v>3496</v>
      </c>
      <c r="B389" s="83" t="s">
        <v>2414</v>
      </c>
      <c r="D389" s="83" t="s">
        <v>688</v>
      </c>
      <c r="E389" s="83" t="s">
        <v>2415</v>
      </c>
      <c r="F389" s="83" t="s">
        <v>3377</v>
      </c>
      <c r="G389" s="83" t="s">
        <v>671</v>
      </c>
      <c r="H389" s="83" t="s">
        <v>1201</v>
      </c>
      <c r="I389" s="83" t="s">
        <v>1202</v>
      </c>
      <c r="J389" s="83" t="s">
        <v>1203</v>
      </c>
      <c r="K389" s="83" t="s">
        <v>565</v>
      </c>
      <c r="L389" s="83" t="s">
        <v>398</v>
      </c>
      <c r="M389" s="83" t="s">
        <v>399</v>
      </c>
      <c r="N389" s="83" t="s">
        <v>2792</v>
      </c>
      <c r="O389" s="83" t="s">
        <v>106</v>
      </c>
      <c r="P389" s="83">
        <v>1</v>
      </c>
      <c r="Q389" s="83" t="s">
        <v>106</v>
      </c>
      <c r="R389" s="83" t="s">
        <v>2799</v>
      </c>
      <c r="S389" s="83" t="s">
        <v>2714</v>
      </c>
      <c r="T389" s="83" t="s">
        <v>2703</v>
      </c>
      <c r="U389" s="83" t="s">
        <v>401</v>
      </c>
      <c r="AC389" s="83" t="s">
        <v>401</v>
      </c>
      <c r="AJ389" s="83">
        <v>1</v>
      </c>
      <c r="AK389" s="83">
        <v>1</v>
      </c>
      <c r="AL389" s="83">
        <v>160</v>
      </c>
      <c r="AM389" s="83" t="s">
        <v>2693</v>
      </c>
      <c r="BK389" s="83" t="s">
        <v>2694</v>
      </c>
      <c r="BL389" s="83" t="s">
        <v>2693</v>
      </c>
      <c r="BM389" s="83" t="s">
        <v>2698</v>
      </c>
      <c r="BN389" s="83" t="s">
        <v>2696</v>
      </c>
      <c r="BO389" s="83" t="s">
        <v>2697</v>
      </c>
      <c r="BP389" s="83" t="s">
        <v>2698</v>
      </c>
      <c r="BQ389" s="83" t="s">
        <v>2699</v>
      </c>
      <c r="BR389" s="83" t="s">
        <v>2693</v>
      </c>
      <c r="BS389" s="83" t="s">
        <v>2699</v>
      </c>
      <c r="BT389" s="83" t="s">
        <v>2696</v>
      </c>
      <c r="BU389" s="83" t="s">
        <v>2699</v>
      </c>
      <c r="BV389" s="83" t="s">
        <v>2697</v>
      </c>
      <c r="BW389" s="83" t="s">
        <v>2693</v>
      </c>
      <c r="BX389" s="83" t="s">
        <v>2696</v>
      </c>
      <c r="BY389" s="83" t="s">
        <v>2693</v>
      </c>
      <c r="BZ389" s="83" t="s">
        <v>2699</v>
      </c>
      <c r="CA389" s="83" t="s">
        <v>2693</v>
      </c>
      <c r="CB389" s="83" t="s">
        <v>2694</v>
      </c>
      <c r="CC389" s="83" t="s">
        <v>2696</v>
      </c>
      <c r="CD389" s="83" t="s">
        <v>2696</v>
      </c>
      <c r="CF389" s="83" t="s">
        <v>1052</v>
      </c>
      <c r="CG389" s="83" t="s">
        <v>1053</v>
      </c>
      <c r="CH389" s="83" t="s">
        <v>2699</v>
      </c>
      <c r="CI389" s="83" t="s">
        <v>2699</v>
      </c>
      <c r="CJ389" s="83" t="s">
        <v>2734</v>
      </c>
      <c r="CK389" s="144">
        <v>0</v>
      </c>
      <c r="CL389"/>
    </row>
    <row r="390" spans="1:90">
      <c r="A390" s="83" t="s">
        <v>3497</v>
      </c>
      <c r="B390" s="83" t="s">
        <v>2416</v>
      </c>
      <c r="D390" s="83" t="s">
        <v>688</v>
      </c>
      <c r="E390" s="83" t="s">
        <v>3498</v>
      </c>
      <c r="F390" s="83" t="s">
        <v>3377</v>
      </c>
      <c r="G390" s="83" t="s">
        <v>671</v>
      </c>
      <c r="H390" s="83" t="s">
        <v>1201</v>
      </c>
      <c r="I390" s="83" t="s">
        <v>1202</v>
      </c>
      <c r="J390" s="83" t="s">
        <v>1203</v>
      </c>
      <c r="K390" s="83" t="s">
        <v>565</v>
      </c>
      <c r="L390" s="83" t="s">
        <v>398</v>
      </c>
      <c r="M390" s="83" t="s">
        <v>399</v>
      </c>
      <c r="N390" s="83" t="s">
        <v>2792</v>
      </c>
      <c r="O390" s="83" t="s">
        <v>106</v>
      </c>
      <c r="P390" s="83">
        <v>1</v>
      </c>
      <c r="Q390" s="83" t="s">
        <v>106</v>
      </c>
      <c r="R390" s="83" t="s">
        <v>2799</v>
      </c>
      <c r="S390" s="83" t="s">
        <v>1456</v>
      </c>
      <c r="T390" s="83" t="s">
        <v>2703</v>
      </c>
      <c r="U390" s="83" t="s">
        <v>401</v>
      </c>
      <c r="AC390" s="83" t="s">
        <v>401</v>
      </c>
      <c r="AJ390" s="83">
        <v>1</v>
      </c>
      <c r="AK390" s="83">
        <v>1</v>
      </c>
      <c r="AL390" s="83">
        <v>276</v>
      </c>
      <c r="AM390" s="83" t="s">
        <v>2693</v>
      </c>
      <c r="BK390" s="83" t="s">
        <v>2694</v>
      </c>
      <c r="BL390" s="83" t="s">
        <v>2693</v>
      </c>
      <c r="BM390" s="83" t="s">
        <v>2698</v>
      </c>
      <c r="BN390" s="83" t="s">
        <v>2696</v>
      </c>
      <c r="BO390" s="83" t="s">
        <v>2697</v>
      </c>
      <c r="BP390" s="83" t="s">
        <v>2698</v>
      </c>
      <c r="BQ390" s="83" t="s">
        <v>2699</v>
      </c>
      <c r="BR390" s="83" t="s">
        <v>2693</v>
      </c>
      <c r="BS390" s="83" t="s">
        <v>2699</v>
      </c>
      <c r="BT390" s="83" t="s">
        <v>2696</v>
      </c>
      <c r="BU390" s="83" t="s">
        <v>2699</v>
      </c>
      <c r="BV390" s="83" t="s">
        <v>2697</v>
      </c>
      <c r="BW390" s="83" t="s">
        <v>2693</v>
      </c>
      <c r="BX390" s="83" t="s">
        <v>2696</v>
      </c>
      <c r="BY390" s="83" t="s">
        <v>2693</v>
      </c>
      <c r="BZ390" s="83" t="s">
        <v>2699</v>
      </c>
      <c r="CA390" s="83" t="s">
        <v>2693</v>
      </c>
      <c r="CB390" s="83" t="s">
        <v>2694</v>
      </c>
      <c r="CC390" s="83" t="s">
        <v>2696</v>
      </c>
      <c r="CD390" s="83" t="s">
        <v>2696</v>
      </c>
      <c r="CF390" s="83" t="s">
        <v>1056</v>
      </c>
      <c r="CG390" s="83" t="s">
        <v>1057</v>
      </c>
      <c r="CH390" s="83" t="s">
        <v>2699</v>
      </c>
      <c r="CI390" s="83" t="s">
        <v>2699</v>
      </c>
      <c r="CJ390" s="83" t="s">
        <v>2734</v>
      </c>
      <c r="CK390" s="144">
        <v>0</v>
      </c>
      <c r="CL390"/>
    </row>
    <row r="391" spans="1:90">
      <c r="A391" s="83" t="s">
        <v>3064</v>
      </c>
      <c r="B391" s="83" t="s">
        <v>2577</v>
      </c>
      <c r="D391" s="83" t="s">
        <v>688</v>
      </c>
      <c r="E391" s="83" t="s">
        <v>2573</v>
      </c>
      <c r="F391" s="83" t="s">
        <v>3065</v>
      </c>
      <c r="G391" s="83" t="s">
        <v>2296</v>
      </c>
      <c r="H391" s="83" t="s">
        <v>1201</v>
      </c>
      <c r="I391" s="83" t="s">
        <v>1202</v>
      </c>
      <c r="J391" s="83" t="s">
        <v>1203</v>
      </c>
      <c r="K391" s="83" t="s">
        <v>565</v>
      </c>
      <c r="L391" s="83" t="s">
        <v>398</v>
      </c>
      <c r="M391" s="83" t="s">
        <v>399</v>
      </c>
      <c r="N391" s="83" t="s">
        <v>2711</v>
      </c>
      <c r="O391" s="83" t="s">
        <v>106</v>
      </c>
      <c r="P391" s="83">
        <v>4</v>
      </c>
      <c r="Q391" s="83" t="s">
        <v>106</v>
      </c>
      <c r="R391" s="83" t="s">
        <v>2730</v>
      </c>
      <c r="S391" s="83" t="s">
        <v>2714</v>
      </c>
      <c r="T391" s="83" t="s">
        <v>2843</v>
      </c>
      <c r="U391" s="83" t="s">
        <v>401</v>
      </c>
      <c r="AC391" s="83" t="s">
        <v>401</v>
      </c>
      <c r="AD391" s="83">
        <v>286000</v>
      </c>
      <c r="AF391" s="83">
        <v>47000</v>
      </c>
      <c r="AJ391" s="83">
        <v>1</v>
      </c>
      <c r="AK391" s="83">
        <v>1</v>
      </c>
      <c r="AL391" s="83">
        <v>2286</v>
      </c>
      <c r="AM391" s="83" t="s">
        <v>2693</v>
      </c>
      <c r="BK391" s="83" t="s">
        <v>2694</v>
      </c>
      <c r="BL391" s="83" t="s">
        <v>2704</v>
      </c>
      <c r="BM391" s="83" t="s">
        <v>2697</v>
      </c>
      <c r="BN391" s="83" t="s">
        <v>2698</v>
      </c>
      <c r="BO391" s="83" t="s">
        <v>2697</v>
      </c>
      <c r="BP391" s="83" t="s">
        <v>2698</v>
      </c>
      <c r="BQ391" s="83" t="s">
        <v>2699</v>
      </c>
      <c r="BR391" s="83" t="s">
        <v>2693</v>
      </c>
      <c r="BS391" s="83" t="s">
        <v>2699</v>
      </c>
      <c r="BT391" s="83" t="s">
        <v>2696</v>
      </c>
      <c r="BU391" s="83" t="s">
        <v>2699</v>
      </c>
      <c r="BV391" s="83" t="s">
        <v>2696</v>
      </c>
      <c r="BW391" s="83" t="s">
        <v>2698</v>
      </c>
      <c r="BX391" s="83" t="s">
        <v>2696</v>
      </c>
      <c r="BY391" s="83" t="s">
        <v>2699</v>
      </c>
      <c r="BZ391" s="83" t="s">
        <v>2693</v>
      </c>
      <c r="CA391" s="83" t="s">
        <v>2693</v>
      </c>
      <c r="CB391" s="83" t="s">
        <v>2694</v>
      </c>
      <c r="CC391" s="83" t="s">
        <v>2699</v>
      </c>
      <c r="CD391" s="83" t="s">
        <v>2696</v>
      </c>
      <c r="CF391" s="83" t="s">
        <v>3066</v>
      </c>
      <c r="CG391" s="83" t="s">
        <v>3067</v>
      </c>
      <c r="CH391" s="83" t="s">
        <v>2693</v>
      </c>
      <c r="CI391" s="83" t="s">
        <v>3992</v>
      </c>
      <c r="CJ391" s="83" t="s">
        <v>2701</v>
      </c>
      <c r="CK391" s="144">
        <v>0</v>
      </c>
      <c r="CL391" s="99">
        <v>94000</v>
      </c>
    </row>
    <row r="392" spans="1:90">
      <c r="A392" s="83" t="s">
        <v>3081</v>
      </c>
      <c r="B392" s="83" t="s">
        <v>2577</v>
      </c>
      <c r="D392" s="83" t="s">
        <v>688</v>
      </c>
      <c r="E392" s="83" t="s">
        <v>2582</v>
      </c>
      <c r="F392" s="83" t="s">
        <v>3065</v>
      </c>
      <c r="G392" s="83" t="s">
        <v>2297</v>
      </c>
      <c r="H392" s="83" t="s">
        <v>1201</v>
      </c>
      <c r="I392" s="83" t="s">
        <v>1202</v>
      </c>
      <c r="J392" s="83" t="s">
        <v>1203</v>
      </c>
      <c r="K392" s="83" t="s">
        <v>565</v>
      </c>
      <c r="L392" s="83" t="s">
        <v>398</v>
      </c>
      <c r="M392" s="83" t="s">
        <v>399</v>
      </c>
      <c r="N392" s="83" t="s">
        <v>2711</v>
      </c>
      <c r="O392" s="83" t="s">
        <v>106</v>
      </c>
      <c r="P392" s="83">
        <v>9</v>
      </c>
      <c r="Q392" s="83" t="s">
        <v>106</v>
      </c>
      <c r="R392" s="83" t="s">
        <v>2727</v>
      </c>
      <c r="S392" s="83" t="s">
        <v>1464</v>
      </c>
      <c r="T392" s="83" t="s">
        <v>2843</v>
      </c>
      <c r="U392" s="83" t="s">
        <v>401</v>
      </c>
      <c r="AC392" s="83" t="s">
        <v>401</v>
      </c>
      <c r="AD392" s="83">
        <v>77000</v>
      </c>
      <c r="AF392" s="83">
        <v>47000</v>
      </c>
      <c r="AJ392" s="83">
        <v>1</v>
      </c>
      <c r="AK392" s="83">
        <v>1</v>
      </c>
      <c r="AL392" s="83">
        <v>1800</v>
      </c>
      <c r="AM392" s="83" t="s">
        <v>2693</v>
      </c>
      <c r="BK392" s="83" t="s">
        <v>2694</v>
      </c>
      <c r="BL392" s="83" t="s">
        <v>2693</v>
      </c>
      <c r="BM392" s="83" t="s">
        <v>2698</v>
      </c>
      <c r="BN392" s="83" t="s">
        <v>2696</v>
      </c>
      <c r="BO392" s="83" t="s">
        <v>2697</v>
      </c>
      <c r="BP392" s="83" t="s">
        <v>2697</v>
      </c>
      <c r="BQ392" s="83" t="s">
        <v>2699</v>
      </c>
      <c r="BR392" s="83" t="s">
        <v>2693</v>
      </c>
      <c r="BS392" s="83" t="s">
        <v>2699</v>
      </c>
      <c r="BT392" s="83" t="s">
        <v>2696</v>
      </c>
      <c r="BU392" s="83" t="s">
        <v>2699</v>
      </c>
      <c r="BV392" s="83" t="s">
        <v>2696</v>
      </c>
      <c r="BW392" s="83" t="s">
        <v>2693</v>
      </c>
      <c r="BX392" s="83" t="s">
        <v>2696</v>
      </c>
      <c r="BY392" s="83" t="s">
        <v>2699</v>
      </c>
      <c r="BZ392" s="83" t="s">
        <v>2693</v>
      </c>
      <c r="CA392" s="83" t="s">
        <v>2693</v>
      </c>
      <c r="CB392" s="83" t="s">
        <v>2694</v>
      </c>
      <c r="CC392" s="83" t="s">
        <v>2699</v>
      </c>
      <c r="CD392" s="83" t="s">
        <v>2696</v>
      </c>
      <c r="CF392" s="83" t="s">
        <v>3082</v>
      </c>
      <c r="CG392" s="83" t="s">
        <v>2024</v>
      </c>
      <c r="CH392" s="83" t="s">
        <v>2697</v>
      </c>
      <c r="CI392" s="83" t="s">
        <v>2695</v>
      </c>
      <c r="CJ392" s="83" t="s">
        <v>2757</v>
      </c>
      <c r="CK392" s="144">
        <v>0</v>
      </c>
      <c r="CL392"/>
    </row>
    <row r="393" spans="1:90">
      <c r="A393" s="83" t="s">
        <v>1215</v>
      </c>
      <c r="B393" s="83" t="s">
        <v>1243</v>
      </c>
      <c r="D393" s="83" t="s">
        <v>688</v>
      </c>
      <c r="E393" s="83" t="s">
        <v>1243</v>
      </c>
      <c r="F393" s="83" t="s">
        <v>1303</v>
      </c>
      <c r="G393" s="83" t="s">
        <v>1165</v>
      </c>
      <c r="H393" s="83" t="s">
        <v>1201</v>
      </c>
      <c r="I393" s="83" t="s">
        <v>1202</v>
      </c>
      <c r="J393" s="83" t="s">
        <v>1203</v>
      </c>
      <c r="K393" s="83" t="s">
        <v>565</v>
      </c>
      <c r="L393" s="83" t="s">
        <v>398</v>
      </c>
      <c r="M393" s="83" t="s">
        <v>399</v>
      </c>
      <c r="N393" s="83" t="s">
        <v>2752</v>
      </c>
      <c r="O393" s="83" t="s">
        <v>106</v>
      </c>
      <c r="P393" s="83">
        <v>5</v>
      </c>
      <c r="Q393" s="83" t="s">
        <v>106</v>
      </c>
      <c r="R393" s="83" t="s">
        <v>2799</v>
      </c>
      <c r="S393" s="83" t="s">
        <v>1453</v>
      </c>
      <c r="T393" s="83" t="s">
        <v>2703</v>
      </c>
      <c r="U393" s="83" t="s">
        <v>401</v>
      </c>
      <c r="AC393" s="83" t="s">
        <v>401</v>
      </c>
      <c r="AD393" s="83">
        <v>64253000</v>
      </c>
      <c r="AF393" s="83">
        <v>6958000</v>
      </c>
      <c r="AJ393" s="83">
        <v>1</v>
      </c>
      <c r="AK393" s="83">
        <v>4</v>
      </c>
      <c r="AL393" s="83">
        <v>270155</v>
      </c>
      <c r="AM393" s="83" t="s">
        <v>2693</v>
      </c>
      <c r="BK393" s="83" t="s">
        <v>2694</v>
      </c>
      <c r="BL393" s="83" t="s">
        <v>2697</v>
      </c>
      <c r="BM393" s="83" t="s">
        <v>2699</v>
      </c>
      <c r="BN393" s="83" t="s">
        <v>2698</v>
      </c>
      <c r="BO393" s="83" t="s">
        <v>2697</v>
      </c>
      <c r="BP393" s="83" t="s">
        <v>2697</v>
      </c>
      <c r="BQ393" s="83" t="s">
        <v>2699</v>
      </c>
      <c r="BR393" s="83" t="s">
        <v>2693</v>
      </c>
      <c r="BS393" s="83" t="s">
        <v>2699</v>
      </c>
      <c r="BT393" s="83" t="s">
        <v>2696</v>
      </c>
      <c r="BU393" s="83" t="s">
        <v>2695</v>
      </c>
      <c r="BV393" s="83" t="s">
        <v>2693</v>
      </c>
      <c r="BW393" s="83" t="s">
        <v>2699</v>
      </c>
      <c r="BX393" s="83" t="s">
        <v>2696</v>
      </c>
      <c r="BY393" s="83" t="s">
        <v>2699</v>
      </c>
      <c r="BZ393" s="83" t="s">
        <v>2699</v>
      </c>
      <c r="CA393" s="83" t="s">
        <v>2696</v>
      </c>
      <c r="CB393" s="83">
        <v>3</v>
      </c>
      <c r="CC393" s="83" t="s">
        <v>2696</v>
      </c>
      <c r="CD393" s="83" t="s">
        <v>2699</v>
      </c>
      <c r="CF393" s="83" t="s">
        <v>570</v>
      </c>
      <c r="CG393" s="83" t="s">
        <v>1367</v>
      </c>
      <c r="CH393" s="83" t="s">
        <v>2725</v>
      </c>
      <c r="CI393" s="83" t="s">
        <v>1358</v>
      </c>
      <c r="CJ393" s="83" t="s">
        <v>2726</v>
      </c>
      <c r="CK393" s="144">
        <v>0</v>
      </c>
      <c r="CL393"/>
    </row>
    <row r="394" spans="1:90">
      <c r="A394" s="83" t="s">
        <v>1727</v>
      </c>
      <c r="B394" s="83" t="s">
        <v>2912</v>
      </c>
      <c r="D394" s="83" t="s">
        <v>688</v>
      </c>
      <c r="E394" s="83" t="s">
        <v>2482</v>
      </c>
      <c r="F394" s="83" t="s">
        <v>2913</v>
      </c>
      <c r="G394" s="83" t="s">
        <v>1900</v>
      </c>
      <c r="H394" s="83" t="s">
        <v>1201</v>
      </c>
      <c r="I394" s="83" t="s">
        <v>1202</v>
      </c>
      <c r="J394" s="83" t="s">
        <v>1203</v>
      </c>
      <c r="K394" s="83" t="s">
        <v>565</v>
      </c>
      <c r="L394" s="83" t="s">
        <v>398</v>
      </c>
      <c r="M394" s="83" t="s">
        <v>399</v>
      </c>
      <c r="N394" s="83" t="s">
        <v>2899</v>
      </c>
      <c r="O394" s="83" t="s">
        <v>106</v>
      </c>
      <c r="P394" s="83">
        <v>8</v>
      </c>
      <c r="Q394" s="83" t="s">
        <v>106</v>
      </c>
      <c r="R394" s="83" t="s">
        <v>2727</v>
      </c>
      <c r="S394" s="83" t="s">
        <v>2790</v>
      </c>
      <c r="T394" s="83" t="s">
        <v>2692</v>
      </c>
      <c r="U394" s="83" t="s">
        <v>401</v>
      </c>
      <c r="AC394" s="83" t="s">
        <v>401</v>
      </c>
      <c r="AD394" s="83">
        <v>3653000</v>
      </c>
      <c r="AF394" s="83">
        <v>707000</v>
      </c>
      <c r="AJ394" s="83">
        <v>1</v>
      </c>
      <c r="AK394" s="83">
        <v>2</v>
      </c>
      <c r="AL394" s="83">
        <v>54736</v>
      </c>
      <c r="AM394" s="83" t="s">
        <v>2693</v>
      </c>
      <c r="BK394" s="83" t="s">
        <v>2694</v>
      </c>
      <c r="BL394" s="83" t="s">
        <v>2697</v>
      </c>
      <c r="BM394" s="83" t="s">
        <v>2699</v>
      </c>
      <c r="BN394" s="83" t="s">
        <v>2698</v>
      </c>
      <c r="BO394" s="83" t="s">
        <v>2697</v>
      </c>
      <c r="BP394" s="83" t="s">
        <v>2697</v>
      </c>
      <c r="BQ394" s="83" t="s">
        <v>2699</v>
      </c>
      <c r="BR394" s="83" t="s">
        <v>2699</v>
      </c>
      <c r="BS394" s="83" t="s">
        <v>2699</v>
      </c>
      <c r="BT394" s="83" t="s">
        <v>2696</v>
      </c>
      <c r="BU394" s="83" t="s">
        <v>2699</v>
      </c>
      <c r="BV394" s="83" t="s">
        <v>2696</v>
      </c>
      <c r="BW394" s="83" t="s">
        <v>2698</v>
      </c>
      <c r="BX394" s="83" t="s">
        <v>2696</v>
      </c>
      <c r="BY394" s="83" t="s">
        <v>2699</v>
      </c>
      <c r="BZ394" s="83" t="s">
        <v>2693</v>
      </c>
      <c r="CA394" s="83" t="s">
        <v>2693</v>
      </c>
      <c r="CB394" s="83" t="s">
        <v>2694</v>
      </c>
      <c r="CC394" s="83" t="s">
        <v>2699</v>
      </c>
      <c r="CD394" s="83" t="s">
        <v>2699</v>
      </c>
      <c r="CF394" s="83" t="s">
        <v>2036</v>
      </c>
      <c r="CG394" s="83" t="s">
        <v>2914</v>
      </c>
      <c r="CH394" s="83" t="s">
        <v>2695</v>
      </c>
      <c r="CI394" s="83" t="s">
        <v>648</v>
      </c>
      <c r="CJ394" s="83" t="s">
        <v>2726</v>
      </c>
      <c r="CK394" s="144">
        <v>1</v>
      </c>
      <c r="CL394" s="99">
        <v>13000</v>
      </c>
    </row>
    <row r="395" spans="1:90">
      <c r="A395" s="79" t="s">
        <v>3760</v>
      </c>
      <c r="B395" s="79" t="s">
        <v>4135</v>
      </c>
      <c r="C395" s="79"/>
      <c r="D395" s="79" t="s">
        <v>688</v>
      </c>
      <c r="E395" s="79" t="s">
        <v>4135</v>
      </c>
      <c r="F395" s="91" t="s">
        <v>1343</v>
      </c>
      <c r="G395" s="91" t="s">
        <v>1344</v>
      </c>
      <c r="H395" s="79" t="s">
        <v>1201</v>
      </c>
      <c r="I395" s="79" t="s">
        <v>1202</v>
      </c>
      <c r="J395" s="79" t="s">
        <v>1203</v>
      </c>
      <c r="K395" s="79" t="s">
        <v>565</v>
      </c>
      <c r="L395" s="79" t="s">
        <v>398</v>
      </c>
      <c r="M395" s="79" t="s">
        <v>399</v>
      </c>
      <c r="N395" s="79" t="s">
        <v>3057</v>
      </c>
      <c r="O395" s="79" t="s">
        <v>106</v>
      </c>
      <c r="P395" s="79">
        <v>4</v>
      </c>
      <c r="Q395" s="79" t="s">
        <v>106</v>
      </c>
      <c r="R395" s="79">
        <v>22</v>
      </c>
      <c r="S395" s="79" t="s">
        <v>3990</v>
      </c>
      <c r="T395" s="79" t="s">
        <v>2703</v>
      </c>
      <c r="U395" s="79" t="s">
        <v>401</v>
      </c>
      <c r="AC395" s="79" t="s">
        <v>401</v>
      </c>
      <c r="AD395" s="79">
        <v>1190000</v>
      </c>
      <c r="AE395" s="79"/>
      <c r="AF395" s="79">
        <v>0</v>
      </c>
      <c r="AG395" s="79"/>
      <c r="AH395" s="79"/>
      <c r="AI395" s="79"/>
      <c r="AJ395" s="79">
        <v>1</v>
      </c>
      <c r="AK395" s="79">
        <v>1</v>
      </c>
      <c r="AL395" s="79">
        <v>3720</v>
      </c>
      <c r="AM395" s="79" t="s">
        <v>2693</v>
      </c>
      <c r="AN395" s="79"/>
      <c r="AO395" s="79"/>
      <c r="AP395" s="79"/>
      <c r="AQ395" s="79"/>
      <c r="AR395" s="79"/>
      <c r="AS395" s="79"/>
      <c r="AT395" s="79"/>
      <c r="AU395" s="79"/>
      <c r="AV395" s="79"/>
      <c r="AW395" s="79"/>
      <c r="AX395" s="79"/>
      <c r="AY395" s="79"/>
      <c r="AZ395" s="79"/>
      <c r="BA395" s="79"/>
      <c r="BB395" s="79"/>
      <c r="BC395" s="79"/>
      <c r="BD395" s="79"/>
      <c r="BE395" s="79"/>
      <c r="BF395" s="79"/>
      <c r="BG395" s="79"/>
      <c r="BH395" s="79"/>
      <c r="BI395" s="79"/>
      <c r="BJ395" s="79"/>
      <c r="BK395" s="92">
        <v>9</v>
      </c>
      <c r="BL395" s="92">
        <v>5</v>
      </c>
      <c r="BM395" s="79">
        <v>6</v>
      </c>
      <c r="BN395" s="93">
        <v>0</v>
      </c>
      <c r="BO395" s="92">
        <v>4</v>
      </c>
      <c r="BP395" s="92">
        <v>5</v>
      </c>
      <c r="BQ395" s="92">
        <v>0</v>
      </c>
      <c r="BR395" s="92">
        <v>2</v>
      </c>
      <c r="BS395" s="92">
        <v>1</v>
      </c>
      <c r="BT395" s="92">
        <v>0</v>
      </c>
      <c r="BU395" s="92">
        <v>1</v>
      </c>
      <c r="BV395" s="92">
        <v>2</v>
      </c>
      <c r="BW395" s="92">
        <v>1</v>
      </c>
      <c r="BX395" s="92">
        <v>0</v>
      </c>
      <c r="BY395" s="92">
        <v>0</v>
      </c>
      <c r="BZ395" s="92">
        <v>2</v>
      </c>
      <c r="CA395" s="92">
        <v>2</v>
      </c>
      <c r="CB395" s="92">
        <v>0</v>
      </c>
      <c r="CC395" s="92">
        <v>0</v>
      </c>
      <c r="CD395" s="92"/>
      <c r="CE395" s="79"/>
      <c r="CF395" s="81" t="s">
        <v>4136</v>
      </c>
      <c r="CG395" s="81" t="s">
        <v>1380</v>
      </c>
      <c r="CH395" s="92">
        <v>2</v>
      </c>
      <c r="CI395" s="94" t="s">
        <v>649</v>
      </c>
      <c r="CJ395" s="94">
        <v>116</v>
      </c>
      <c r="CK395" s="94">
        <v>1</v>
      </c>
      <c r="CL395"/>
    </row>
    <row r="396" spans="1:90">
      <c r="A396" s="83" t="s">
        <v>3499</v>
      </c>
      <c r="B396" s="83" t="s">
        <v>2417</v>
      </c>
      <c r="D396" s="83" t="s">
        <v>688</v>
      </c>
      <c r="E396" s="83" t="s">
        <v>902</v>
      </c>
      <c r="F396" s="83" t="s">
        <v>3425</v>
      </c>
      <c r="G396" s="83" t="s">
        <v>1155</v>
      </c>
      <c r="H396" s="83" t="s">
        <v>1201</v>
      </c>
      <c r="I396" s="83" t="s">
        <v>1202</v>
      </c>
      <c r="J396" s="83" t="s">
        <v>1203</v>
      </c>
      <c r="K396" s="83" t="s">
        <v>565</v>
      </c>
      <c r="L396" s="83" t="s">
        <v>398</v>
      </c>
      <c r="M396" s="83" t="s">
        <v>399</v>
      </c>
      <c r="N396" s="83" t="s">
        <v>3057</v>
      </c>
      <c r="O396" s="83" t="s">
        <v>106</v>
      </c>
      <c r="P396" s="83">
        <v>1</v>
      </c>
      <c r="Q396" s="83" t="s">
        <v>106</v>
      </c>
      <c r="R396" s="83" t="s">
        <v>2799</v>
      </c>
      <c r="S396" s="83" t="s">
        <v>2803</v>
      </c>
      <c r="T396" s="83" t="s">
        <v>2703</v>
      </c>
      <c r="U396" s="83" t="s">
        <v>401</v>
      </c>
      <c r="AC396" s="83" t="s">
        <v>401</v>
      </c>
      <c r="AD396" s="83">
        <v>46000</v>
      </c>
      <c r="AF396" s="83">
        <v>27000</v>
      </c>
      <c r="AJ396" s="83">
        <v>1</v>
      </c>
      <c r="AK396" s="83">
        <v>1</v>
      </c>
      <c r="AL396" s="83">
        <v>2842</v>
      </c>
      <c r="AM396" s="83" t="s">
        <v>2693</v>
      </c>
      <c r="BK396" s="83" t="s">
        <v>2694</v>
      </c>
      <c r="BL396" s="83" t="s">
        <v>2704</v>
      </c>
      <c r="BM396" s="83" t="s">
        <v>2698</v>
      </c>
      <c r="BN396" s="83" t="s">
        <v>2696</v>
      </c>
      <c r="BO396" s="83" t="s">
        <v>2697</v>
      </c>
      <c r="BP396" s="83" t="s">
        <v>2698</v>
      </c>
      <c r="BQ396" s="83" t="s">
        <v>2699</v>
      </c>
      <c r="BR396" s="83" t="s">
        <v>2693</v>
      </c>
      <c r="BS396" s="83" t="s">
        <v>2699</v>
      </c>
      <c r="BT396" s="83" t="s">
        <v>2696</v>
      </c>
      <c r="BU396" s="83" t="s">
        <v>2699</v>
      </c>
      <c r="BV396" s="83" t="s">
        <v>2697</v>
      </c>
      <c r="BW396" s="83" t="s">
        <v>2693</v>
      </c>
      <c r="BX396" s="83" t="s">
        <v>2696</v>
      </c>
      <c r="BY396" s="83" t="s">
        <v>2699</v>
      </c>
      <c r="BZ396" s="83" t="s">
        <v>2699</v>
      </c>
      <c r="CA396" s="83" t="s">
        <v>2693</v>
      </c>
      <c r="CB396" s="83" t="s">
        <v>2694</v>
      </c>
      <c r="CC396" s="83" t="s">
        <v>2696</v>
      </c>
      <c r="CD396" s="83" t="s">
        <v>2696</v>
      </c>
      <c r="CF396" s="83" t="s">
        <v>903</v>
      </c>
      <c r="CG396" s="83" t="s">
        <v>901</v>
      </c>
      <c r="CH396" s="83" t="s">
        <v>2699</v>
      </c>
      <c r="CI396" s="83" t="s">
        <v>2699</v>
      </c>
      <c r="CJ396" s="83" t="s">
        <v>2734</v>
      </c>
      <c r="CK396" s="144">
        <v>0</v>
      </c>
      <c r="CL396"/>
    </row>
    <row r="397" spans="1:90">
      <c r="A397" s="83" t="s">
        <v>1575</v>
      </c>
      <c r="B397" s="83" t="s">
        <v>741</v>
      </c>
      <c r="D397" s="83" t="s">
        <v>688</v>
      </c>
      <c r="E397" s="83" t="s">
        <v>2728</v>
      </c>
      <c r="F397" s="83" t="s">
        <v>1771</v>
      </c>
      <c r="G397" s="83" t="s">
        <v>1880</v>
      </c>
      <c r="H397" s="83" t="s">
        <v>1201</v>
      </c>
      <c r="I397" s="83" t="s">
        <v>1202</v>
      </c>
      <c r="J397" s="83" t="s">
        <v>1203</v>
      </c>
      <c r="K397" s="83" t="s">
        <v>565</v>
      </c>
      <c r="L397" s="83" t="s">
        <v>398</v>
      </c>
      <c r="M397" s="83" t="s">
        <v>399</v>
      </c>
      <c r="N397" s="83" t="s">
        <v>2709</v>
      </c>
      <c r="O397" s="83" t="s">
        <v>106</v>
      </c>
      <c r="P397" s="83">
        <v>8</v>
      </c>
      <c r="Q397" s="83" t="s">
        <v>106</v>
      </c>
      <c r="R397" s="83" t="s">
        <v>2691</v>
      </c>
      <c r="S397" s="83" t="s">
        <v>2729</v>
      </c>
      <c r="T397" s="83" t="s">
        <v>1456</v>
      </c>
      <c r="U397" s="83" t="s">
        <v>401</v>
      </c>
      <c r="AC397" s="83" t="s">
        <v>401</v>
      </c>
      <c r="AD397" s="83">
        <v>614000</v>
      </c>
      <c r="AF397" s="83">
        <v>0</v>
      </c>
      <c r="AJ397" s="83">
        <v>1</v>
      </c>
      <c r="AK397" s="83">
        <v>1</v>
      </c>
      <c r="AL397" s="83">
        <v>5880</v>
      </c>
      <c r="AM397" s="83" t="s">
        <v>2693</v>
      </c>
      <c r="BK397" s="83" t="s">
        <v>2694</v>
      </c>
      <c r="BL397" s="83" t="s">
        <v>2697</v>
      </c>
      <c r="BM397" s="83" t="s">
        <v>2699</v>
      </c>
      <c r="BN397" s="83" t="s">
        <v>2698</v>
      </c>
      <c r="BO397" s="83" t="s">
        <v>2697</v>
      </c>
      <c r="BP397" s="83" t="s">
        <v>2697</v>
      </c>
      <c r="BQ397" s="83" t="s">
        <v>2699</v>
      </c>
      <c r="BR397" s="83" t="s">
        <v>2699</v>
      </c>
      <c r="BS397" s="83" t="s">
        <v>2699</v>
      </c>
      <c r="BT397" s="83">
        <v>0</v>
      </c>
      <c r="BU397" s="83" t="s">
        <v>2699</v>
      </c>
      <c r="BV397" s="83" t="s">
        <v>2696</v>
      </c>
      <c r="BW397" s="83" t="s">
        <v>2698</v>
      </c>
      <c r="BX397" s="83" t="s">
        <v>2696</v>
      </c>
      <c r="BY397" s="83" t="s">
        <v>2699</v>
      </c>
      <c r="BZ397" s="83" t="s">
        <v>2693</v>
      </c>
      <c r="CA397" s="83" t="s">
        <v>2693</v>
      </c>
      <c r="CB397" s="83">
        <v>9</v>
      </c>
      <c r="CC397" s="83" t="s">
        <v>2699</v>
      </c>
      <c r="CD397" s="83" t="s">
        <v>2699</v>
      </c>
      <c r="CF397" s="83" t="s">
        <v>2033</v>
      </c>
      <c r="CG397" s="83" t="s">
        <v>2034</v>
      </c>
      <c r="CH397" s="83" t="s">
        <v>2695</v>
      </c>
      <c r="CI397" s="83" t="s">
        <v>648</v>
      </c>
      <c r="CJ397" s="83" t="s">
        <v>2731</v>
      </c>
      <c r="CK397" s="144">
        <v>1</v>
      </c>
      <c r="CL397" s="99">
        <v>18000</v>
      </c>
    </row>
    <row r="398" spans="1:90">
      <c r="A398" s="79" t="s">
        <v>3089</v>
      </c>
      <c r="B398" s="79" t="s">
        <v>2586</v>
      </c>
      <c r="C398" s="79"/>
      <c r="D398" s="79" t="s">
        <v>688</v>
      </c>
      <c r="E398" s="79" t="s">
        <v>2587</v>
      </c>
      <c r="F398" s="79" t="s">
        <v>3090</v>
      </c>
      <c r="G398" s="79" t="s">
        <v>2298</v>
      </c>
      <c r="H398" s="79" t="s">
        <v>1201</v>
      </c>
      <c r="I398" s="79" t="s">
        <v>1202</v>
      </c>
      <c r="J398" s="79" t="s">
        <v>1203</v>
      </c>
      <c r="K398" s="79" t="s">
        <v>565</v>
      </c>
      <c r="L398" s="79" t="s">
        <v>398</v>
      </c>
      <c r="M398" s="79" t="s">
        <v>399</v>
      </c>
      <c r="N398" s="79" t="s">
        <v>3057</v>
      </c>
      <c r="O398" s="79" t="s">
        <v>106</v>
      </c>
      <c r="P398" s="79"/>
      <c r="Q398" s="79" t="s">
        <v>106</v>
      </c>
      <c r="R398" s="79" t="s">
        <v>2727</v>
      </c>
      <c r="S398" s="90">
        <v>31412</v>
      </c>
      <c r="T398" s="79" t="s">
        <v>2843</v>
      </c>
      <c r="U398" s="79" t="s">
        <v>401</v>
      </c>
      <c r="AC398" s="79" t="s">
        <v>401</v>
      </c>
      <c r="AD398" s="79">
        <v>0</v>
      </c>
      <c r="AE398" s="79"/>
      <c r="AF398" s="79">
        <v>10000</v>
      </c>
      <c r="AG398" s="79"/>
      <c r="AH398" s="79"/>
      <c r="AI398" s="79"/>
      <c r="AJ398" s="79">
        <v>1</v>
      </c>
      <c r="AK398" s="79">
        <v>1</v>
      </c>
      <c r="AL398" s="79">
        <v>0</v>
      </c>
      <c r="AM398" s="79" t="s">
        <v>2693</v>
      </c>
      <c r="AN398" s="79"/>
      <c r="AO398" s="79"/>
      <c r="AP398" s="79"/>
      <c r="AQ398" s="79"/>
      <c r="AR398" s="79"/>
      <c r="AS398" s="79"/>
      <c r="AT398" s="79"/>
      <c r="AU398" s="79"/>
      <c r="AV398" s="79"/>
      <c r="AW398" s="79"/>
      <c r="AX398" s="79"/>
      <c r="AY398" s="79"/>
      <c r="AZ398" s="79"/>
      <c r="BA398" s="79"/>
      <c r="BB398" s="79"/>
      <c r="BC398" s="79"/>
      <c r="BD398" s="79"/>
      <c r="BE398" s="79"/>
      <c r="BF398" s="79"/>
      <c r="BG398" s="79"/>
      <c r="BH398" s="79"/>
      <c r="BI398" s="79"/>
      <c r="BJ398" s="79"/>
      <c r="BK398" s="79" t="s">
        <v>2696</v>
      </c>
      <c r="BL398" s="79" t="s">
        <v>2696</v>
      </c>
      <c r="BM398" s="79" t="s">
        <v>2696</v>
      </c>
      <c r="BN398" s="79" t="s">
        <v>2696</v>
      </c>
      <c r="BO398" s="79" t="s">
        <v>2696</v>
      </c>
      <c r="BP398" s="79" t="s">
        <v>2696</v>
      </c>
      <c r="BQ398" s="79" t="s">
        <v>2696</v>
      </c>
      <c r="BR398" s="79" t="s">
        <v>2696</v>
      </c>
      <c r="BS398" s="79" t="s">
        <v>2696</v>
      </c>
      <c r="BT398" s="79" t="s">
        <v>2696</v>
      </c>
      <c r="BU398" s="79" t="s">
        <v>2696</v>
      </c>
      <c r="BV398" s="79" t="s">
        <v>2696</v>
      </c>
      <c r="BW398" s="79" t="s">
        <v>2696</v>
      </c>
      <c r="BX398" s="79" t="s">
        <v>2696</v>
      </c>
      <c r="BY398" s="79" t="s">
        <v>2696</v>
      </c>
      <c r="BZ398" s="79" t="s">
        <v>2696</v>
      </c>
      <c r="CA398" s="79" t="s">
        <v>2696</v>
      </c>
      <c r="CB398" s="79" t="s">
        <v>2696</v>
      </c>
      <c r="CC398" s="79" t="s">
        <v>2696</v>
      </c>
      <c r="CD398" s="79" t="s">
        <v>2696</v>
      </c>
      <c r="CE398" s="79"/>
      <c r="CF398" s="79" t="s">
        <v>3091</v>
      </c>
      <c r="CG398" s="79" t="s">
        <v>3092</v>
      </c>
      <c r="CH398" s="79"/>
      <c r="CI398" s="79"/>
      <c r="CJ398" s="79" t="s">
        <v>2734</v>
      </c>
      <c r="CK398" s="145"/>
      <c r="CL398"/>
    </row>
    <row r="399" spans="1:90">
      <c r="A399" s="79" t="s">
        <v>3673</v>
      </c>
      <c r="B399" s="79" t="s">
        <v>3674</v>
      </c>
      <c r="C399" s="79"/>
      <c r="D399" s="79" t="s">
        <v>688</v>
      </c>
      <c r="E399" s="79" t="s">
        <v>3674</v>
      </c>
      <c r="F399" s="79" t="s">
        <v>3508</v>
      </c>
      <c r="G399" s="79" t="s">
        <v>2442</v>
      </c>
      <c r="H399" s="79" t="s">
        <v>1201</v>
      </c>
      <c r="I399" s="79" t="s">
        <v>1202</v>
      </c>
      <c r="J399" s="79" t="s">
        <v>1203</v>
      </c>
      <c r="K399" s="79" t="s">
        <v>565</v>
      </c>
      <c r="L399" s="79" t="s">
        <v>398</v>
      </c>
      <c r="M399" s="79" t="s">
        <v>399</v>
      </c>
      <c r="N399" s="79" t="s">
        <v>1909</v>
      </c>
      <c r="O399" s="79" t="s">
        <v>106</v>
      </c>
      <c r="P399" s="79">
        <v>4</v>
      </c>
      <c r="Q399" s="79" t="s">
        <v>106</v>
      </c>
      <c r="R399" s="79" t="s">
        <v>2727</v>
      </c>
      <c r="S399" s="79" t="s">
        <v>2760</v>
      </c>
      <c r="T399" s="79" t="s">
        <v>2703</v>
      </c>
      <c r="U399" s="79" t="s">
        <v>401</v>
      </c>
      <c r="AC399" s="79" t="s">
        <v>401</v>
      </c>
      <c r="AD399" s="79">
        <v>71000</v>
      </c>
      <c r="AE399" s="79"/>
      <c r="AF399" s="79">
        <v>0</v>
      </c>
      <c r="AG399" s="79"/>
      <c r="AH399" s="79"/>
      <c r="AI399" s="79"/>
      <c r="AJ399" s="79">
        <v>1</v>
      </c>
      <c r="AK399" s="79">
        <v>1</v>
      </c>
      <c r="AL399" s="79">
        <v>1184</v>
      </c>
      <c r="AM399" s="79" t="s">
        <v>2693</v>
      </c>
      <c r="AN399" s="79"/>
      <c r="AO399" s="79"/>
      <c r="AP399" s="79"/>
      <c r="AQ399" s="79"/>
      <c r="AR399" s="79"/>
      <c r="AS399" s="79"/>
      <c r="AT399" s="79"/>
      <c r="AU399" s="79"/>
      <c r="AV399" s="79"/>
      <c r="AW399" s="79"/>
      <c r="AX399" s="79"/>
      <c r="AY399" s="79"/>
      <c r="AZ399" s="79"/>
      <c r="BA399" s="79"/>
      <c r="BB399" s="79"/>
      <c r="BC399" s="79"/>
      <c r="BD399" s="79"/>
      <c r="BE399" s="79"/>
      <c r="BF399" s="79"/>
      <c r="BG399" s="79"/>
      <c r="BH399" s="79"/>
      <c r="BI399" s="79"/>
      <c r="BJ399" s="79"/>
      <c r="BK399" s="79" t="s">
        <v>2696</v>
      </c>
      <c r="BL399" s="79" t="s">
        <v>2699</v>
      </c>
      <c r="BM399" s="79" t="s">
        <v>2697</v>
      </c>
      <c r="BN399" s="79" t="s">
        <v>2696</v>
      </c>
      <c r="BO399" s="79" t="s">
        <v>2697</v>
      </c>
      <c r="BP399" s="79" t="s">
        <v>2698</v>
      </c>
      <c r="BQ399" s="79" t="s">
        <v>2699</v>
      </c>
      <c r="BR399" s="79" t="s">
        <v>2693</v>
      </c>
      <c r="BS399" s="79" t="s">
        <v>2699</v>
      </c>
      <c r="BT399" s="79" t="s">
        <v>2696</v>
      </c>
      <c r="BU399" s="79">
        <v>1</v>
      </c>
      <c r="BV399" s="79" t="s">
        <v>2696</v>
      </c>
      <c r="BW399" s="79" t="s">
        <v>2698</v>
      </c>
      <c r="BX399" s="79" t="s">
        <v>2693</v>
      </c>
      <c r="BY399" s="79" t="s">
        <v>2699</v>
      </c>
      <c r="BZ399" s="79" t="s">
        <v>2699</v>
      </c>
      <c r="CA399" s="79" t="s">
        <v>2693</v>
      </c>
      <c r="CB399" s="79">
        <v>9</v>
      </c>
      <c r="CC399" s="79" t="s">
        <v>2693</v>
      </c>
      <c r="CD399" s="79" t="s">
        <v>2696</v>
      </c>
      <c r="CE399" s="79"/>
      <c r="CF399" s="81" t="s">
        <v>2464</v>
      </c>
      <c r="CG399" s="81" t="s">
        <v>2465</v>
      </c>
      <c r="CH399" s="79" t="s">
        <v>2693</v>
      </c>
      <c r="CI399" s="79" t="s">
        <v>2076</v>
      </c>
      <c r="CJ399" s="79" t="s">
        <v>2701</v>
      </c>
      <c r="CK399" s="145">
        <v>0</v>
      </c>
      <c r="CL399" s="99">
        <v>580000</v>
      </c>
    </row>
    <row r="400" spans="1:90">
      <c r="A400" s="83" t="s">
        <v>3673</v>
      </c>
      <c r="B400" s="83" t="s">
        <v>3674</v>
      </c>
      <c r="D400" s="83" t="s">
        <v>673</v>
      </c>
      <c r="E400" s="83" t="s">
        <v>2450</v>
      </c>
      <c r="F400" s="83" t="s">
        <v>3508</v>
      </c>
      <c r="G400" s="83" t="s">
        <v>2442</v>
      </c>
      <c r="H400" s="83" t="s">
        <v>1201</v>
      </c>
      <c r="I400" s="83" t="s">
        <v>1202</v>
      </c>
      <c r="J400" s="83" t="s">
        <v>1203</v>
      </c>
      <c r="K400" s="83" t="s">
        <v>565</v>
      </c>
      <c r="L400" s="83" t="s">
        <v>398</v>
      </c>
      <c r="M400" s="83" t="s">
        <v>399</v>
      </c>
      <c r="N400" s="83" t="s">
        <v>1909</v>
      </c>
      <c r="O400" s="83" t="s">
        <v>106</v>
      </c>
      <c r="P400" s="83">
        <v>1</v>
      </c>
      <c r="Q400" s="83" t="s">
        <v>106</v>
      </c>
      <c r="R400" s="83" t="s">
        <v>2727</v>
      </c>
      <c r="S400" s="83" t="s">
        <v>2760</v>
      </c>
      <c r="T400" s="83" t="s">
        <v>2703</v>
      </c>
      <c r="U400" s="83" t="s">
        <v>401</v>
      </c>
      <c r="AC400" s="83" t="s">
        <v>401</v>
      </c>
      <c r="AD400" s="83">
        <v>87000</v>
      </c>
      <c r="AF400" s="83">
        <v>42000</v>
      </c>
      <c r="AJ400" s="83">
        <v>1</v>
      </c>
      <c r="AK400" s="83">
        <v>1</v>
      </c>
      <c r="AL400" s="83">
        <v>2484</v>
      </c>
      <c r="AM400" s="83" t="s">
        <v>2693</v>
      </c>
      <c r="BK400" s="83" t="s">
        <v>2696</v>
      </c>
      <c r="BL400" s="83" t="s">
        <v>2704</v>
      </c>
      <c r="BM400" s="83" t="s">
        <v>2698</v>
      </c>
      <c r="BN400" s="83" t="s">
        <v>2696</v>
      </c>
      <c r="BO400" s="83" t="s">
        <v>2697</v>
      </c>
      <c r="BP400" s="83" t="s">
        <v>2698</v>
      </c>
      <c r="BQ400" s="83" t="s">
        <v>2693</v>
      </c>
      <c r="BR400" s="83" t="s">
        <v>2693</v>
      </c>
      <c r="BS400" s="83" t="s">
        <v>2699</v>
      </c>
      <c r="BT400" s="83" t="s">
        <v>2696</v>
      </c>
      <c r="BU400" s="83">
        <v>1</v>
      </c>
      <c r="BV400" s="83" t="s">
        <v>2696</v>
      </c>
      <c r="BW400" s="83" t="s">
        <v>2696</v>
      </c>
      <c r="BX400" s="83" t="s">
        <v>2693</v>
      </c>
      <c r="BY400" s="83" t="s">
        <v>2699</v>
      </c>
      <c r="BZ400" s="83" t="s">
        <v>2699</v>
      </c>
      <c r="CA400" s="83" t="s">
        <v>2699</v>
      </c>
      <c r="CB400" s="83">
        <v>9</v>
      </c>
      <c r="CC400" s="83" t="s">
        <v>2693</v>
      </c>
      <c r="CD400" s="83" t="s">
        <v>2696</v>
      </c>
      <c r="CF400" s="83" t="s">
        <v>2464</v>
      </c>
      <c r="CG400" s="83" t="s">
        <v>2465</v>
      </c>
      <c r="CH400" s="83" t="s">
        <v>2699</v>
      </c>
      <c r="CI400" s="83" t="s">
        <v>2699</v>
      </c>
      <c r="CJ400" s="83" t="s">
        <v>2734</v>
      </c>
      <c r="CK400" s="144">
        <v>0</v>
      </c>
      <c r="CL400"/>
    </row>
    <row r="401" spans="1:90">
      <c r="A401" s="83" t="s">
        <v>3673</v>
      </c>
      <c r="B401" s="83" t="s">
        <v>3674</v>
      </c>
      <c r="D401" s="83" t="s">
        <v>714</v>
      </c>
      <c r="E401" s="83" t="s">
        <v>822</v>
      </c>
      <c r="F401" s="83" t="s">
        <v>3508</v>
      </c>
      <c r="G401" s="83" t="s">
        <v>2442</v>
      </c>
      <c r="H401" s="83" t="s">
        <v>1201</v>
      </c>
      <c r="I401" s="83" t="s">
        <v>1202</v>
      </c>
      <c r="J401" s="83" t="s">
        <v>1203</v>
      </c>
      <c r="K401" s="83" t="s">
        <v>565</v>
      </c>
      <c r="L401" s="83" t="s">
        <v>398</v>
      </c>
      <c r="M401" s="83" t="s">
        <v>399</v>
      </c>
      <c r="N401" s="83" t="s">
        <v>1909</v>
      </c>
      <c r="O401" s="83" t="s">
        <v>106</v>
      </c>
      <c r="P401" s="83">
        <v>1</v>
      </c>
      <c r="Q401" s="83" t="s">
        <v>106</v>
      </c>
      <c r="R401" s="83" t="s">
        <v>2727</v>
      </c>
      <c r="S401" s="83" t="s">
        <v>2760</v>
      </c>
      <c r="T401" s="83" t="s">
        <v>2703</v>
      </c>
      <c r="U401" s="83" t="s">
        <v>401</v>
      </c>
      <c r="AC401" s="83" t="s">
        <v>401</v>
      </c>
      <c r="AD401" s="83">
        <v>87000</v>
      </c>
      <c r="AF401" s="83">
        <v>42000</v>
      </c>
      <c r="AJ401" s="83">
        <v>1</v>
      </c>
      <c r="AK401" s="83">
        <v>1</v>
      </c>
      <c r="AL401" s="83">
        <v>2484</v>
      </c>
      <c r="AM401" s="83" t="s">
        <v>2693</v>
      </c>
      <c r="BK401" s="83" t="s">
        <v>2696</v>
      </c>
      <c r="BL401" s="83" t="s">
        <v>2704</v>
      </c>
      <c r="BM401" s="83" t="s">
        <v>2698</v>
      </c>
      <c r="BN401" s="83" t="s">
        <v>2696</v>
      </c>
      <c r="BO401" s="83" t="s">
        <v>2697</v>
      </c>
      <c r="BP401" s="83" t="s">
        <v>2698</v>
      </c>
      <c r="BQ401" s="83" t="s">
        <v>2693</v>
      </c>
      <c r="BR401" s="83" t="s">
        <v>2693</v>
      </c>
      <c r="BS401" s="83" t="s">
        <v>2699</v>
      </c>
      <c r="BT401" s="83" t="s">
        <v>2696</v>
      </c>
      <c r="BU401" s="83">
        <v>1</v>
      </c>
      <c r="BV401" s="83" t="s">
        <v>2696</v>
      </c>
      <c r="BW401" s="83" t="s">
        <v>2696</v>
      </c>
      <c r="BX401" s="83" t="s">
        <v>2693</v>
      </c>
      <c r="BY401" s="83" t="s">
        <v>2699</v>
      </c>
      <c r="BZ401" s="83" t="s">
        <v>2699</v>
      </c>
      <c r="CA401" s="83" t="s">
        <v>2699</v>
      </c>
      <c r="CB401" s="83">
        <v>9</v>
      </c>
      <c r="CC401" s="83" t="s">
        <v>2693</v>
      </c>
      <c r="CD401" s="83" t="s">
        <v>2696</v>
      </c>
      <c r="CF401" s="83" t="s">
        <v>2468</v>
      </c>
      <c r="CG401" s="83" t="s">
        <v>3675</v>
      </c>
      <c r="CH401" s="83" t="s">
        <v>2699</v>
      </c>
      <c r="CI401" s="83" t="s">
        <v>2699</v>
      </c>
      <c r="CJ401" s="83" t="s">
        <v>2734</v>
      </c>
      <c r="CK401" s="144">
        <v>0</v>
      </c>
      <c r="CL401"/>
    </row>
    <row r="402" spans="1:90">
      <c r="A402" s="83" t="s">
        <v>3500</v>
      </c>
      <c r="B402" s="83" t="s">
        <v>2418</v>
      </c>
      <c r="D402" s="83" t="s">
        <v>688</v>
      </c>
      <c r="E402" s="83" t="s">
        <v>3501</v>
      </c>
      <c r="F402" s="83" t="s">
        <v>3381</v>
      </c>
      <c r="G402" s="83" t="s">
        <v>671</v>
      </c>
      <c r="H402" s="83" t="s">
        <v>1201</v>
      </c>
      <c r="I402" s="83" t="s">
        <v>1202</v>
      </c>
      <c r="J402" s="83" t="s">
        <v>1203</v>
      </c>
      <c r="K402" s="83" t="s">
        <v>565</v>
      </c>
      <c r="L402" s="83" t="s">
        <v>398</v>
      </c>
      <c r="M402" s="83" t="s">
        <v>399</v>
      </c>
      <c r="N402" s="83" t="s">
        <v>2792</v>
      </c>
      <c r="O402" s="83" t="s">
        <v>106</v>
      </c>
      <c r="P402" s="83">
        <v>9</v>
      </c>
      <c r="Q402" s="83" t="s">
        <v>106</v>
      </c>
      <c r="R402" s="83" t="s">
        <v>2799</v>
      </c>
      <c r="S402" s="83" t="s">
        <v>2714</v>
      </c>
      <c r="T402" s="83" t="s">
        <v>2703</v>
      </c>
      <c r="U402" s="83" t="s">
        <v>401</v>
      </c>
      <c r="AC402" s="83" t="s">
        <v>401</v>
      </c>
      <c r="AD402" s="83">
        <v>21000</v>
      </c>
      <c r="AF402" s="83">
        <v>17000</v>
      </c>
      <c r="AJ402" s="83">
        <v>1</v>
      </c>
      <c r="AK402" s="83">
        <v>1</v>
      </c>
      <c r="AL402" s="83">
        <v>650</v>
      </c>
      <c r="AM402" s="83" t="s">
        <v>2693</v>
      </c>
      <c r="BK402" s="83" t="s">
        <v>2694</v>
      </c>
      <c r="BL402" s="83" t="s">
        <v>2693</v>
      </c>
      <c r="BM402" s="83" t="s">
        <v>2698</v>
      </c>
      <c r="BN402" s="83" t="s">
        <v>2698</v>
      </c>
      <c r="BO402" s="83" t="s">
        <v>2697</v>
      </c>
      <c r="BP402" s="83" t="s">
        <v>2697</v>
      </c>
      <c r="BQ402" s="83" t="s">
        <v>2699</v>
      </c>
      <c r="BR402" s="83" t="s">
        <v>2693</v>
      </c>
      <c r="BS402" s="83" t="s">
        <v>2699</v>
      </c>
      <c r="BT402" s="83" t="s">
        <v>2696</v>
      </c>
      <c r="BU402" s="83" t="s">
        <v>2699</v>
      </c>
      <c r="BV402" s="83" t="s">
        <v>2697</v>
      </c>
      <c r="BW402" s="83" t="s">
        <v>2693</v>
      </c>
      <c r="BX402" s="83" t="s">
        <v>2696</v>
      </c>
      <c r="BY402" s="83" t="s">
        <v>2693</v>
      </c>
      <c r="BZ402" s="83" t="s">
        <v>2699</v>
      </c>
      <c r="CA402" s="83" t="s">
        <v>2693</v>
      </c>
      <c r="CB402" s="83" t="s">
        <v>2694</v>
      </c>
      <c r="CC402" s="83" t="s">
        <v>2696</v>
      </c>
      <c r="CD402" s="83" t="s">
        <v>2696</v>
      </c>
      <c r="CF402" s="83" t="s">
        <v>618</v>
      </c>
      <c r="CG402" s="83" t="s">
        <v>583</v>
      </c>
      <c r="CH402" s="83" t="s">
        <v>2697</v>
      </c>
      <c r="CI402" s="83" t="s">
        <v>648</v>
      </c>
      <c r="CJ402" s="83" t="s">
        <v>2757</v>
      </c>
      <c r="CK402" s="144">
        <v>0</v>
      </c>
      <c r="CL402"/>
    </row>
    <row r="403" spans="1:90">
      <c r="A403" s="83" t="s">
        <v>3502</v>
      </c>
      <c r="B403" s="83" t="s">
        <v>2419</v>
      </c>
      <c r="D403" s="83" t="s">
        <v>688</v>
      </c>
      <c r="E403" s="83" t="s">
        <v>3503</v>
      </c>
      <c r="F403" s="83" t="s">
        <v>3381</v>
      </c>
      <c r="G403" s="83" t="s">
        <v>671</v>
      </c>
      <c r="H403" s="83" t="s">
        <v>1201</v>
      </c>
      <c r="I403" s="83" t="s">
        <v>1202</v>
      </c>
      <c r="J403" s="83" t="s">
        <v>1203</v>
      </c>
      <c r="K403" s="83" t="s">
        <v>565</v>
      </c>
      <c r="L403" s="83" t="s">
        <v>398</v>
      </c>
      <c r="M403" s="83" t="s">
        <v>399</v>
      </c>
      <c r="N403" s="83" t="s">
        <v>2792</v>
      </c>
      <c r="O403" s="83" t="s">
        <v>106</v>
      </c>
      <c r="P403" s="83">
        <v>9</v>
      </c>
      <c r="Q403" s="83" t="s">
        <v>106</v>
      </c>
      <c r="R403" s="83" t="s">
        <v>2799</v>
      </c>
      <c r="S403" s="83" t="s">
        <v>2714</v>
      </c>
      <c r="T403" s="83" t="s">
        <v>2703</v>
      </c>
      <c r="U403" s="83" t="s">
        <v>401</v>
      </c>
      <c r="AC403" s="83" t="s">
        <v>401</v>
      </c>
      <c r="AD403" s="83">
        <v>39000</v>
      </c>
      <c r="AF403" s="83">
        <v>19000</v>
      </c>
      <c r="AJ403" s="83">
        <v>1</v>
      </c>
      <c r="AK403" s="83">
        <v>1</v>
      </c>
      <c r="AL403" s="83">
        <v>1440</v>
      </c>
      <c r="AM403" s="83" t="s">
        <v>2693</v>
      </c>
      <c r="BK403" s="83" t="s">
        <v>2694</v>
      </c>
      <c r="BL403" s="83" t="s">
        <v>2693</v>
      </c>
      <c r="BM403" s="83" t="s">
        <v>2698</v>
      </c>
      <c r="BN403" s="83" t="s">
        <v>2698</v>
      </c>
      <c r="BO403" s="83" t="s">
        <v>2697</v>
      </c>
      <c r="BP403" s="83" t="s">
        <v>2697</v>
      </c>
      <c r="BQ403" s="83" t="s">
        <v>2699</v>
      </c>
      <c r="BR403" s="83" t="s">
        <v>2693</v>
      </c>
      <c r="BS403" s="83" t="s">
        <v>2699</v>
      </c>
      <c r="BT403" s="83" t="s">
        <v>2696</v>
      </c>
      <c r="BU403" s="83" t="s">
        <v>2699</v>
      </c>
      <c r="BV403" s="83" t="s">
        <v>2697</v>
      </c>
      <c r="BW403" s="83" t="s">
        <v>2693</v>
      </c>
      <c r="BX403" s="83" t="s">
        <v>2696</v>
      </c>
      <c r="BY403" s="83" t="s">
        <v>2699</v>
      </c>
      <c r="BZ403" s="83" t="s">
        <v>2699</v>
      </c>
      <c r="CA403" s="83" t="s">
        <v>2693</v>
      </c>
      <c r="CB403" s="83" t="s">
        <v>2694</v>
      </c>
      <c r="CC403" s="83" t="s">
        <v>2696</v>
      </c>
      <c r="CD403" s="83" t="s">
        <v>2696</v>
      </c>
      <c r="CF403" s="83" t="s">
        <v>1047</v>
      </c>
      <c r="CG403" s="83" t="s">
        <v>1048</v>
      </c>
      <c r="CH403" s="83" t="s">
        <v>2697</v>
      </c>
      <c r="CI403" s="83" t="s">
        <v>648</v>
      </c>
      <c r="CJ403" s="83" t="s">
        <v>2757</v>
      </c>
      <c r="CK403" s="144">
        <v>0</v>
      </c>
      <c r="CL403"/>
    </row>
    <row r="404" spans="1:90">
      <c r="A404" s="83" t="s">
        <v>3395</v>
      </c>
      <c r="B404" s="83" t="s">
        <v>2360</v>
      </c>
      <c r="D404" s="83" t="s">
        <v>688</v>
      </c>
      <c r="E404" s="83" t="s">
        <v>3396</v>
      </c>
      <c r="F404" s="83" t="s">
        <v>3381</v>
      </c>
      <c r="G404" s="83" t="s">
        <v>671</v>
      </c>
      <c r="H404" s="83" t="s">
        <v>566</v>
      </c>
      <c r="I404" s="83" t="s">
        <v>567</v>
      </c>
      <c r="J404" s="83" t="s">
        <v>564</v>
      </c>
      <c r="K404" s="83" t="s">
        <v>565</v>
      </c>
      <c r="L404" s="83" t="s">
        <v>398</v>
      </c>
      <c r="M404" s="83" t="s">
        <v>399</v>
      </c>
      <c r="N404" s="83" t="s">
        <v>2792</v>
      </c>
      <c r="O404" s="83" t="s">
        <v>106</v>
      </c>
      <c r="P404" s="83">
        <v>9</v>
      </c>
      <c r="Q404" s="83" t="s">
        <v>106</v>
      </c>
      <c r="R404" s="83" t="s">
        <v>2799</v>
      </c>
      <c r="S404" s="83" t="s">
        <v>1465</v>
      </c>
      <c r="T404" s="83" t="s">
        <v>2703</v>
      </c>
      <c r="U404" s="83" t="s">
        <v>401</v>
      </c>
      <c r="AC404" s="83" t="s">
        <v>401</v>
      </c>
      <c r="AJ404" s="83">
        <v>1</v>
      </c>
      <c r="AK404" s="83">
        <v>1</v>
      </c>
      <c r="AL404" s="83">
        <v>276</v>
      </c>
      <c r="AM404" s="83" t="s">
        <v>2693</v>
      </c>
      <c r="BK404" s="83" t="s">
        <v>2694</v>
      </c>
      <c r="BL404" s="83" t="s">
        <v>2693</v>
      </c>
      <c r="BM404" s="83" t="s">
        <v>2698</v>
      </c>
      <c r="BN404" s="83" t="s">
        <v>2698</v>
      </c>
      <c r="BO404" s="83" t="s">
        <v>2697</v>
      </c>
      <c r="BP404" s="83" t="s">
        <v>2697</v>
      </c>
      <c r="BQ404" s="83" t="s">
        <v>2699</v>
      </c>
      <c r="BR404" s="83" t="s">
        <v>2693</v>
      </c>
      <c r="BS404" s="83" t="s">
        <v>2699</v>
      </c>
      <c r="BT404" s="83" t="s">
        <v>2696</v>
      </c>
      <c r="BU404" s="83" t="s">
        <v>2699</v>
      </c>
      <c r="BV404" s="83" t="s">
        <v>2697</v>
      </c>
      <c r="BW404" s="83" t="s">
        <v>2693</v>
      </c>
      <c r="BX404" s="83" t="s">
        <v>2696</v>
      </c>
      <c r="BY404" s="83" t="s">
        <v>2693</v>
      </c>
      <c r="BZ404" s="83" t="s">
        <v>2699</v>
      </c>
      <c r="CA404" s="83" t="s">
        <v>2693</v>
      </c>
      <c r="CB404" s="83" t="s">
        <v>2694</v>
      </c>
      <c r="CC404" s="83" t="s">
        <v>2696</v>
      </c>
      <c r="CD404" s="83" t="s">
        <v>2696</v>
      </c>
      <c r="CF404" s="83" t="s">
        <v>618</v>
      </c>
      <c r="CG404" s="83" t="s">
        <v>619</v>
      </c>
      <c r="CH404" s="83" t="s">
        <v>2697</v>
      </c>
      <c r="CI404" s="83" t="s">
        <v>648</v>
      </c>
      <c r="CJ404" s="83" t="s">
        <v>2757</v>
      </c>
      <c r="CK404" s="144">
        <v>0</v>
      </c>
      <c r="CL404"/>
    </row>
    <row r="405" spans="1:90">
      <c r="A405" s="83" t="s">
        <v>3376</v>
      </c>
      <c r="B405" s="83" t="s">
        <v>2349</v>
      </c>
      <c r="D405" s="83" t="s">
        <v>688</v>
      </c>
      <c r="E405" s="83" t="s">
        <v>541</v>
      </c>
      <c r="F405" s="83" t="s">
        <v>3377</v>
      </c>
      <c r="G405" s="83" t="s">
        <v>671</v>
      </c>
      <c r="H405" s="83" t="s">
        <v>566</v>
      </c>
      <c r="I405" s="83" t="s">
        <v>567</v>
      </c>
      <c r="J405" s="83" t="s">
        <v>564</v>
      </c>
      <c r="K405" s="83" t="s">
        <v>565</v>
      </c>
      <c r="L405" s="83" t="s">
        <v>398</v>
      </c>
      <c r="M405" s="83" t="s">
        <v>399</v>
      </c>
      <c r="N405" s="83" t="s">
        <v>2792</v>
      </c>
      <c r="O405" s="83" t="s">
        <v>106</v>
      </c>
      <c r="P405" s="83">
        <v>9</v>
      </c>
      <c r="Q405" s="83" t="s">
        <v>106</v>
      </c>
      <c r="R405" s="83" t="s">
        <v>2799</v>
      </c>
      <c r="S405" s="83" t="s">
        <v>2720</v>
      </c>
      <c r="T405" s="83" t="s">
        <v>2703</v>
      </c>
      <c r="U405" s="83" t="s">
        <v>401</v>
      </c>
      <c r="AC405" s="83" t="s">
        <v>401</v>
      </c>
      <c r="AJ405" s="83">
        <v>1</v>
      </c>
      <c r="AK405" s="83">
        <v>1</v>
      </c>
      <c r="AL405" s="83">
        <v>380</v>
      </c>
      <c r="AM405" s="83" t="s">
        <v>2693</v>
      </c>
      <c r="BK405" s="83" t="s">
        <v>2694</v>
      </c>
      <c r="BL405" s="83" t="s">
        <v>2693</v>
      </c>
      <c r="BM405" s="83" t="s">
        <v>2693</v>
      </c>
      <c r="BN405" s="83" t="s">
        <v>2698</v>
      </c>
      <c r="BO405" s="83" t="s">
        <v>2697</v>
      </c>
      <c r="BP405" s="83" t="s">
        <v>2697</v>
      </c>
      <c r="BQ405" s="83" t="s">
        <v>2699</v>
      </c>
      <c r="BR405" s="83" t="s">
        <v>2693</v>
      </c>
      <c r="BS405" s="83" t="s">
        <v>2699</v>
      </c>
      <c r="BT405" s="83" t="s">
        <v>2696</v>
      </c>
      <c r="BU405" s="83" t="s">
        <v>2699</v>
      </c>
      <c r="BV405" s="83" t="s">
        <v>2697</v>
      </c>
      <c r="BW405" s="83" t="s">
        <v>2693</v>
      </c>
      <c r="BX405" s="83" t="s">
        <v>2696</v>
      </c>
      <c r="BY405" s="83" t="s">
        <v>2693</v>
      </c>
      <c r="BZ405" s="83" t="s">
        <v>2699</v>
      </c>
      <c r="CA405" s="83" t="s">
        <v>2693</v>
      </c>
      <c r="CB405" s="83" t="s">
        <v>2694</v>
      </c>
      <c r="CC405" s="83" t="s">
        <v>2696</v>
      </c>
      <c r="CD405" s="83" t="s">
        <v>2696</v>
      </c>
      <c r="CF405" s="83" t="s">
        <v>582</v>
      </c>
      <c r="CG405" s="83" t="s">
        <v>583</v>
      </c>
      <c r="CH405" s="83" t="s">
        <v>2697</v>
      </c>
      <c r="CI405" s="83" t="s">
        <v>648</v>
      </c>
      <c r="CJ405" s="83" t="s">
        <v>2757</v>
      </c>
      <c r="CK405" s="144">
        <v>0</v>
      </c>
      <c r="CL405"/>
    </row>
    <row r="406" spans="1:90">
      <c r="A406" s="83" t="s">
        <v>3157</v>
      </c>
      <c r="B406" s="83" t="s">
        <v>973</v>
      </c>
      <c r="D406" s="83" t="s">
        <v>688</v>
      </c>
      <c r="E406" s="83" t="s">
        <v>2387</v>
      </c>
      <c r="F406" s="83" t="s">
        <v>3158</v>
      </c>
      <c r="G406" s="83" t="s">
        <v>2304</v>
      </c>
      <c r="H406" s="83" t="s">
        <v>1201</v>
      </c>
      <c r="I406" s="83" t="s">
        <v>1202</v>
      </c>
      <c r="J406" s="83" t="s">
        <v>1203</v>
      </c>
      <c r="K406" s="83" t="s">
        <v>565</v>
      </c>
      <c r="L406" s="83" t="s">
        <v>398</v>
      </c>
      <c r="M406" s="83" t="s">
        <v>399</v>
      </c>
      <c r="N406" s="83" t="s">
        <v>3152</v>
      </c>
      <c r="O406" s="83" t="s">
        <v>106</v>
      </c>
      <c r="P406" s="83">
        <v>4</v>
      </c>
      <c r="Q406" s="83" t="s">
        <v>106</v>
      </c>
      <c r="R406" s="83" t="s">
        <v>2727</v>
      </c>
      <c r="S406" s="83" t="s">
        <v>2714</v>
      </c>
      <c r="T406" s="83" t="s">
        <v>2843</v>
      </c>
      <c r="U406" s="83" t="s">
        <v>401</v>
      </c>
      <c r="AC406" s="83" t="s">
        <v>401</v>
      </c>
      <c r="AD406" s="83">
        <v>169000</v>
      </c>
      <c r="AF406" s="83">
        <v>10000</v>
      </c>
      <c r="AJ406" s="83">
        <v>1</v>
      </c>
      <c r="AK406" s="83">
        <v>1</v>
      </c>
      <c r="AL406" s="83">
        <v>1260</v>
      </c>
      <c r="AM406" s="83" t="s">
        <v>2693</v>
      </c>
      <c r="BK406" s="83" t="s">
        <v>2694</v>
      </c>
      <c r="BL406" s="83" t="s">
        <v>2693</v>
      </c>
      <c r="BM406" s="83" t="s">
        <v>2697</v>
      </c>
      <c r="BN406" s="83" t="s">
        <v>2698</v>
      </c>
      <c r="BO406" s="83" t="s">
        <v>2697</v>
      </c>
      <c r="BP406" s="83" t="s">
        <v>2698</v>
      </c>
      <c r="BQ406" s="83" t="s">
        <v>2699</v>
      </c>
      <c r="BR406" s="83" t="s">
        <v>2693</v>
      </c>
      <c r="BS406" s="83" t="s">
        <v>2699</v>
      </c>
      <c r="BT406" s="83" t="s">
        <v>2696</v>
      </c>
      <c r="BU406" s="83" t="s">
        <v>2699</v>
      </c>
      <c r="BV406" s="83" t="s">
        <v>2696</v>
      </c>
      <c r="BW406" s="83" t="s">
        <v>2698</v>
      </c>
      <c r="BX406" s="83" t="s">
        <v>2696</v>
      </c>
      <c r="BY406" s="83" t="s">
        <v>2699</v>
      </c>
      <c r="BZ406" s="83" t="s">
        <v>2693</v>
      </c>
      <c r="CA406" s="83" t="s">
        <v>2693</v>
      </c>
      <c r="CB406" s="83" t="s">
        <v>2694</v>
      </c>
      <c r="CC406" s="83" t="s">
        <v>2699</v>
      </c>
      <c r="CD406" s="83" t="s">
        <v>2696</v>
      </c>
      <c r="CF406" s="83" t="s">
        <v>3159</v>
      </c>
      <c r="CG406" s="83" t="s">
        <v>3160</v>
      </c>
      <c r="CH406" s="83" t="s">
        <v>2693</v>
      </c>
      <c r="CI406" s="83" t="s">
        <v>3992</v>
      </c>
      <c r="CJ406" s="83" t="s">
        <v>2701</v>
      </c>
      <c r="CK406" s="144">
        <v>1</v>
      </c>
      <c r="CL406" s="99">
        <v>601000</v>
      </c>
    </row>
    <row r="407" spans="1:90">
      <c r="A407" s="83" t="s">
        <v>3157</v>
      </c>
      <c r="B407" s="83" t="s">
        <v>973</v>
      </c>
      <c r="D407" s="83" t="s">
        <v>673</v>
      </c>
      <c r="E407" s="83" t="s">
        <v>894</v>
      </c>
      <c r="F407" s="83" t="s">
        <v>3158</v>
      </c>
      <c r="G407" s="83" t="s">
        <v>2304</v>
      </c>
      <c r="H407" s="83" t="s">
        <v>1201</v>
      </c>
      <c r="I407" s="83" t="s">
        <v>1202</v>
      </c>
      <c r="J407" s="83" t="s">
        <v>1203</v>
      </c>
      <c r="K407" s="83" t="s">
        <v>565</v>
      </c>
      <c r="L407" s="83" t="s">
        <v>398</v>
      </c>
      <c r="M407" s="83" t="s">
        <v>399</v>
      </c>
      <c r="N407" s="83" t="s">
        <v>3152</v>
      </c>
      <c r="O407" s="83" t="s">
        <v>106</v>
      </c>
      <c r="P407" s="83">
        <v>4</v>
      </c>
      <c r="Q407" s="83" t="s">
        <v>106</v>
      </c>
      <c r="R407" s="83" t="s">
        <v>2727</v>
      </c>
      <c r="S407" s="83" t="s">
        <v>2714</v>
      </c>
      <c r="T407" s="83" t="s">
        <v>2843</v>
      </c>
      <c r="U407" s="83" t="s">
        <v>401</v>
      </c>
      <c r="AC407" s="83" t="s">
        <v>401</v>
      </c>
      <c r="AD407" s="83">
        <v>77000</v>
      </c>
      <c r="AF407" s="83">
        <v>4000</v>
      </c>
      <c r="AJ407" s="83">
        <v>1</v>
      </c>
      <c r="AK407" s="83">
        <v>1</v>
      </c>
      <c r="AL407" s="83">
        <v>487</v>
      </c>
      <c r="AM407" s="83" t="s">
        <v>2693</v>
      </c>
      <c r="BK407" s="83" t="s">
        <v>2694</v>
      </c>
      <c r="BL407" s="83" t="s">
        <v>2694</v>
      </c>
      <c r="BM407" s="83" t="s">
        <v>2697</v>
      </c>
      <c r="BN407" s="83" t="s">
        <v>2698</v>
      </c>
      <c r="BO407" s="83" t="s">
        <v>2697</v>
      </c>
      <c r="BP407" s="83" t="s">
        <v>2698</v>
      </c>
      <c r="BQ407" s="83" t="s">
        <v>2699</v>
      </c>
      <c r="BR407" s="83" t="s">
        <v>2693</v>
      </c>
      <c r="BS407" s="83" t="s">
        <v>2699</v>
      </c>
      <c r="BT407" s="83" t="s">
        <v>2696</v>
      </c>
      <c r="BU407" s="83" t="s">
        <v>2699</v>
      </c>
      <c r="BV407" s="83" t="s">
        <v>2696</v>
      </c>
      <c r="BW407" s="83" t="s">
        <v>2698</v>
      </c>
      <c r="BX407" s="83" t="s">
        <v>2696</v>
      </c>
      <c r="BY407" s="83" t="s">
        <v>2699</v>
      </c>
      <c r="BZ407" s="83" t="s">
        <v>2693</v>
      </c>
      <c r="CA407" s="83" t="s">
        <v>2693</v>
      </c>
      <c r="CB407" s="83" t="s">
        <v>2694</v>
      </c>
      <c r="CC407" s="83" t="s">
        <v>2699</v>
      </c>
      <c r="CD407" s="83" t="s">
        <v>2696</v>
      </c>
      <c r="CF407" s="83" t="s">
        <v>3161</v>
      </c>
      <c r="CG407" s="83" t="s">
        <v>3162</v>
      </c>
      <c r="CH407" s="83" t="s">
        <v>2693</v>
      </c>
      <c r="CI407" s="83" t="s">
        <v>3992</v>
      </c>
      <c r="CJ407" s="83" t="s">
        <v>2701</v>
      </c>
      <c r="CK407" s="144">
        <v>0</v>
      </c>
      <c r="CL407"/>
    </row>
    <row r="408" spans="1:90">
      <c r="A408" s="83" t="s">
        <v>3504</v>
      </c>
      <c r="B408" s="83" t="s">
        <v>3505</v>
      </c>
      <c r="D408" s="83" t="s">
        <v>688</v>
      </c>
      <c r="E408" s="83" t="s">
        <v>3505</v>
      </c>
      <c r="F408" s="83" t="s">
        <v>3506</v>
      </c>
      <c r="G408" s="83" t="s">
        <v>1176</v>
      </c>
      <c r="H408" s="83" t="s">
        <v>1201</v>
      </c>
      <c r="I408" s="83" t="s">
        <v>1202</v>
      </c>
      <c r="J408" s="83" t="s">
        <v>1203</v>
      </c>
      <c r="K408" s="83" t="s">
        <v>565</v>
      </c>
      <c r="L408" s="83" t="s">
        <v>398</v>
      </c>
      <c r="M408" s="83" t="s">
        <v>399</v>
      </c>
      <c r="N408" s="83" t="s">
        <v>3455</v>
      </c>
      <c r="O408" s="83" t="s">
        <v>106</v>
      </c>
      <c r="P408" s="83">
        <v>4</v>
      </c>
      <c r="Q408" s="83" t="s">
        <v>106</v>
      </c>
      <c r="R408" s="83" t="s">
        <v>2753</v>
      </c>
      <c r="S408" s="83" t="s">
        <v>2775</v>
      </c>
      <c r="T408" s="83" t="s">
        <v>2703</v>
      </c>
      <c r="U408" s="83" t="s">
        <v>401</v>
      </c>
      <c r="AC408" s="83" t="s">
        <v>401</v>
      </c>
      <c r="AD408" s="83">
        <v>383000</v>
      </c>
      <c r="AF408" s="83">
        <v>32000</v>
      </c>
      <c r="AJ408" s="83">
        <v>1</v>
      </c>
      <c r="AK408" s="83">
        <v>1</v>
      </c>
      <c r="AL408" s="83">
        <v>3056</v>
      </c>
      <c r="AM408" s="83" t="s">
        <v>2693</v>
      </c>
      <c r="BK408" s="83" t="s">
        <v>2694</v>
      </c>
      <c r="BL408" s="83" t="s">
        <v>2704</v>
      </c>
      <c r="BM408" s="83" t="s">
        <v>2695</v>
      </c>
      <c r="BN408" s="83" t="s">
        <v>2698</v>
      </c>
      <c r="BO408" s="83" t="s">
        <v>2697</v>
      </c>
      <c r="BP408" s="83" t="s">
        <v>2695</v>
      </c>
      <c r="BQ408" s="83" t="s">
        <v>2699</v>
      </c>
      <c r="BR408" s="83" t="s">
        <v>2693</v>
      </c>
      <c r="BS408" s="83" t="s">
        <v>2699</v>
      </c>
      <c r="BT408" s="83" t="s">
        <v>2696</v>
      </c>
      <c r="BU408" s="83" t="s">
        <v>2699</v>
      </c>
      <c r="BV408" s="83" t="s">
        <v>2697</v>
      </c>
      <c r="BW408" s="83" t="s">
        <v>2698</v>
      </c>
      <c r="BX408" s="83" t="s">
        <v>2696</v>
      </c>
      <c r="BY408" s="83" t="s">
        <v>2699</v>
      </c>
      <c r="BZ408" s="83" t="s">
        <v>2699</v>
      </c>
      <c r="CA408" s="83" t="s">
        <v>2693</v>
      </c>
      <c r="CB408" s="83" t="s">
        <v>2694</v>
      </c>
      <c r="CC408" s="83" t="s">
        <v>2699</v>
      </c>
      <c r="CD408" s="83" t="s">
        <v>2699</v>
      </c>
      <c r="CF408" s="83" t="s">
        <v>759</v>
      </c>
      <c r="CG408" s="83" t="s">
        <v>760</v>
      </c>
      <c r="CH408" s="83" t="s">
        <v>2693</v>
      </c>
      <c r="CI408" s="83" t="s">
        <v>3992</v>
      </c>
      <c r="CJ408" s="83" t="s">
        <v>2701</v>
      </c>
      <c r="CK408" s="144">
        <v>0</v>
      </c>
      <c r="CL408"/>
    </row>
    <row r="409" spans="1:90">
      <c r="A409" s="79" t="s">
        <v>3761</v>
      </c>
      <c r="B409" s="79" t="s">
        <v>3804</v>
      </c>
      <c r="C409" s="79"/>
      <c r="D409" s="79" t="s">
        <v>688</v>
      </c>
      <c r="E409" s="79" t="s">
        <v>3826</v>
      </c>
      <c r="F409" s="79">
        <v>1755</v>
      </c>
      <c r="G409" s="79" t="s">
        <v>1827</v>
      </c>
      <c r="H409" s="79" t="s">
        <v>1201</v>
      </c>
      <c r="I409" s="79" t="s">
        <v>1202</v>
      </c>
      <c r="J409" s="79" t="s">
        <v>1203</v>
      </c>
      <c r="K409" s="79" t="s">
        <v>565</v>
      </c>
      <c r="L409" s="79" t="s">
        <v>398</v>
      </c>
      <c r="M409" s="79" t="s">
        <v>399</v>
      </c>
      <c r="N409" s="79" t="s">
        <v>2743</v>
      </c>
      <c r="O409" s="79" t="s">
        <v>106</v>
      </c>
      <c r="P409" s="79">
        <v>0</v>
      </c>
      <c r="Q409" s="79" t="s">
        <v>106</v>
      </c>
      <c r="R409" s="79">
        <v>23</v>
      </c>
      <c r="S409" s="90">
        <v>29586</v>
      </c>
      <c r="T409" s="79" t="s">
        <v>2703</v>
      </c>
      <c r="U409" s="79" t="s">
        <v>401</v>
      </c>
      <c r="AC409" s="79" t="s">
        <v>401</v>
      </c>
      <c r="AD409" s="79">
        <v>0</v>
      </c>
      <c r="AE409" s="79"/>
      <c r="AF409" s="79">
        <v>480000</v>
      </c>
      <c r="AG409" s="79"/>
      <c r="AH409" s="79"/>
      <c r="AI409" s="79"/>
      <c r="AJ409" s="79">
        <v>1</v>
      </c>
      <c r="AK409" s="79">
        <v>0</v>
      </c>
      <c r="AL409" s="79">
        <v>0</v>
      </c>
      <c r="AM409" s="79" t="s">
        <v>2693</v>
      </c>
      <c r="AN409" s="79"/>
      <c r="AO409" s="79"/>
      <c r="AP409" s="79"/>
      <c r="AQ409" s="79"/>
      <c r="AR409" s="79"/>
      <c r="AS409" s="79"/>
      <c r="AT409" s="79"/>
      <c r="AU409" s="79"/>
      <c r="AV409" s="79"/>
      <c r="AW409" s="79"/>
      <c r="AX409" s="79"/>
      <c r="AY409" s="79"/>
      <c r="AZ409" s="79"/>
      <c r="BA409" s="79"/>
      <c r="BB409" s="79"/>
      <c r="BC409" s="79"/>
      <c r="BD409" s="79"/>
      <c r="BE409" s="79"/>
      <c r="BF409" s="79"/>
      <c r="BG409" s="79"/>
      <c r="BH409" s="79"/>
      <c r="BI409" s="79"/>
      <c r="BJ409" s="79"/>
      <c r="BK409" s="79"/>
      <c r="BL409" s="79">
        <v>0</v>
      </c>
      <c r="BM409" s="79">
        <v>0</v>
      </c>
      <c r="BN409" s="79">
        <v>0</v>
      </c>
      <c r="BO409" s="79">
        <v>0</v>
      </c>
      <c r="BP409" s="79">
        <v>0</v>
      </c>
      <c r="BQ409" s="79">
        <v>0</v>
      </c>
      <c r="BR409" s="79">
        <v>0</v>
      </c>
      <c r="BS409" s="79">
        <v>0</v>
      </c>
      <c r="BT409" s="79">
        <v>0</v>
      </c>
      <c r="BU409" s="79">
        <v>0</v>
      </c>
      <c r="BV409" s="79">
        <v>0</v>
      </c>
      <c r="BW409" s="79">
        <v>0</v>
      </c>
      <c r="BX409" s="79">
        <v>0</v>
      </c>
      <c r="BY409" s="79">
        <v>0</v>
      </c>
      <c r="BZ409" s="79">
        <v>0</v>
      </c>
      <c r="CA409" s="79">
        <v>0</v>
      </c>
      <c r="CB409" s="79">
        <v>0</v>
      </c>
      <c r="CC409" s="79">
        <v>0</v>
      </c>
      <c r="CD409" s="79">
        <v>0</v>
      </c>
      <c r="CE409" s="79"/>
      <c r="CF409" s="79" t="s">
        <v>3917</v>
      </c>
      <c r="CG409" s="79" t="s">
        <v>3918</v>
      </c>
      <c r="CH409" s="79"/>
      <c r="CI409" s="79"/>
      <c r="CJ409" s="79"/>
      <c r="CK409" s="145"/>
      <c r="CL409"/>
    </row>
    <row r="410" spans="1:90">
      <c r="A410" s="83" t="s">
        <v>3040</v>
      </c>
      <c r="B410" s="83" t="s">
        <v>2563</v>
      </c>
      <c r="D410" s="83" t="s">
        <v>688</v>
      </c>
      <c r="E410" s="83" t="s">
        <v>2563</v>
      </c>
      <c r="F410" s="83" t="s">
        <v>3041</v>
      </c>
      <c r="G410" s="83" t="s">
        <v>2293</v>
      </c>
      <c r="H410" s="83" t="s">
        <v>1201</v>
      </c>
      <c r="I410" s="83" t="s">
        <v>1202</v>
      </c>
      <c r="J410" s="83" t="s">
        <v>1203</v>
      </c>
      <c r="K410" s="83" t="s">
        <v>565</v>
      </c>
      <c r="L410" s="83" t="s">
        <v>398</v>
      </c>
      <c r="M410" s="83" t="s">
        <v>399</v>
      </c>
      <c r="N410" s="83" t="s">
        <v>3001</v>
      </c>
      <c r="O410" s="83" t="s">
        <v>106</v>
      </c>
      <c r="P410" s="83">
        <v>4</v>
      </c>
      <c r="Q410" s="83" t="s">
        <v>106</v>
      </c>
      <c r="R410" s="83" t="s">
        <v>2730</v>
      </c>
      <c r="S410" s="83" t="s">
        <v>2720</v>
      </c>
      <c r="T410" s="83" t="s">
        <v>2843</v>
      </c>
      <c r="U410" s="83" t="s">
        <v>401</v>
      </c>
      <c r="AC410" s="83" t="s">
        <v>401</v>
      </c>
      <c r="AD410" s="83">
        <v>275000</v>
      </c>
      <c r="AF410" s="83">
        <v>15000</v>
      </c>
      <c r="AJ410" s="83">
        <v>1</v>
      </c>
      <c r="AK410" s="83">
        <v>1</v>
      </c>
      <c r="AL410" s="83">
        <v>3000</v>
      </c>
      <c r="AM410" s="83" t="s">
        <v>2693</v>
      </c>
      <c r="BK410" s="83" t="s">
        <v>2694</v>
      </c>
      <c r="BL410" s="83" t="s">
        <v>2704</v>
      </c>
      <c r="BM410" s="83" t="s">
        <v>2698</v>
      </c>
      <c r="BN410" s="83" t="s">
        <v>2698</v>
      </c>
      <c r="BO410" s="83" t="s">
        <v>2697</v>
      </c>
      <c r="BP410" s="83" t="s">
        <v>2698</v>
      </c>
      <c r="BQ410" s="83" t="s">
        <v>2699</v>
      </c>
      <c r="BR410" s="83" t="s">
        <v>2693</v>
      </c>
      <c r="BS410" s="83" t="s">
        <v>2699</v>
      </c>
      <c r="BT410" s="83" t="s">
        <v>2696</v>
      </c>
      <c r="BU410" s="83" t="s">
        <v>2699</v>
      </c>
      <c r="BV410" s="83" t="s">
        <v>2696</v>
      </c>
      <c r="BW410" s="83" t="s">
        <v>2698</v>
      </c>
      <c r="BX410" s="83" t="s">
        <v>2696</v>
      </c>
      <c r="BY410" s="83" t="s">
        <v>2699</v>
      </c>
      <c r="BZ410" s="83" t="s">
        <v>2693</v>
      </c>
      <c r="CA410" s="83" t="s">
        <v>2693</v>
      </c>
      <c r="CB410" s="83" t="s">
        <v>2694</v>
      </c>
      <c r="CC410" s="83" t="s">
        <v>2699</v>
      </c>
      <c r="CD410" s="83" t="s">
        <v>2696</v>
      </c>
      <c r="CF410" s="83" t="s">
        <v>3042</v>
      </c>
      <c r="CG410" s="83" t="s">
        <v>3043</v>
      </c>
      <c r="CH410" s="83" t="s">
        <v>2693</v>
      </c>
      <c r="CI410" s="83" t="s">
        <v>3992</v>
      </c>
      <c r="CJ410" s="83" t="s">
        <v>2701</v>
      </c>
      <c r="CK410" s="144">
        <v>0</v>
      </c>
      <c r="CL410"/>
    </row>
    <row r="411" spans="1:90">
      <c r="A411" s="83" t="s">
        <v>536</v>
      </c>
      <c r="B411" s="83" t="s">
        <v>2342</v>
      </c>
      <c r="D411" s="83" t="s">
        <v>673</v>
      </c>
      <c r="E411" s="83" t="s">
        <v>3367</v>
      </c>
      <c r="F411" s="83" t="s">
        <v>3368</v>
      </c>
      <c r="G411" s="83" t="s">
        <v>1187</v>
      </c>
      <c r="H411" s="83" t="s">
        <v>566</v>
      </c>
      <c r="I411" s="83" t="s">
        <v>567</v>
      </c>
      <c r="J411" s="83" t="s">
        <v>564</v>
      </c>
      <c r="K411" s="83" t="s">
        <v>565</v>
      </c>
      <c r="L411" s="83" t="s">
        <v>398</v>
      </c>
      <c r="M411" s="83" t="s">
        <v>399</v>
      </c>
      <c r="N411" s="83" t="s">
        <v>2743</v>
      </c>
      <c r="O411" s="83" t="s">
        <v>106</v>
      </c>
      <c r="P411" s="83">
        <v>9</v>
      </c>
      <c r="Q411" s="83" t="s">
        <v>106</v>
      </c>
      <c r="R411" s="83" t="s">
        <v>2799</v>
      </c>
      <c r="S411" s="83" t="s">
        <v>2712</v>
      </c>
      <c r="T411" s="83" t="s">
        <v>2703</v>
      </c>
      <c r="U411" s="83" t="s">
        <v>401</v>
      </c>
      <c r="AC411" s="83" t="s">
        <v>401</v>
      </c>
      <c r="AD411" s="83">
        <v>627000</v>
      </c>
      <c r="AF411" s="83">
        <v>175000</v>
      </c>
      <c r="AJ411" s="83">
        <v>1</v>
      </c>
      <c r="AK411" s="83">
        <v>1</v>
      </c>
      <c r="AL411" s="83">
        <v>14410</v>
      </c>
      <c r="AM411" s="83" t="s">
        <v>2693</v>
      </c>
      <c r="BK411" s="83" t="s">
        <v>2694</v>
      </c>
      <c r="BL411" s="83" t="s">
        <v>2693</v>
      </c>
      <c r="BM411" s="83" t="s">
        <v>2698</v>
      </c>
      <c r="BN411" s="83" t="s">
        <v>2698</v>
      </c>
      <c r="BO411" s="83" t="s">
        <v>2697</v>
      </c>
      <c r="BP411" s="83" t="s">
        <v>2697</v>
      </c>
      <c r="BQ411" s="83" t="s">
        <v>2699</v>
      </c>
      <c r="BR411" s="83" t="s">
        <v>2693</v>
      </c>
      <c r="BS411" s="83" t="s">
        <v>2699</v>
      </c>
      <c r="BT411" s="83" t="s">
        <v>2696</v>
      </c>
      <c r="BU411" s="83" t="s">
        <v>2699</v>
      </c>
      <c r="BV411" s="83" t="s">
        <v>2697</v>
      </c>
      <c r="BW411" s="83" t="s">
        <v>2693</v>
      </c>
      <c r="BX411" s="83" t="s">
        <v>2696</v>
      </c>
      <c r="BY411" s="83" t="s">
        <v>2699</v>
      </c>
      <c r="BZ411" s="83" t="s">
        <v>2699</v>
      </c>
      <c r="CA411" s="83" t="s">
        <v>2693</v>
      </c>
      <c r="CB411" s="83" t="s">
        <v>2694</v>
      </c>
      <c r="CC411" s="83" t="s">
        <v>2699</v>
      </c>
      <c r="CD411" s="83" t="s">
        <v>2696</v>
      </c>
      <c r="CF411" s="83" t="s">
        <v>568</v>
      </c>
      <c r="CG411" s="83" t="s">
        <v>569</v>
      </c>
      <c r="CH411" s="83" t="s">
        <v>2697</v>
      </c>
      <c r="CI411" s="83" t="s">
        <v>648</v>
      </c>
      <c r="CJ411" s="83" t="s">
        <v>2757</v>
      </c>
      <c r="CK411" s="144">
        <v>0</v>
      </c>
      <c r="CL411"/>
    </row>
    <row r="412" spans="1:90">
      <c r="A412" s="83" t="s">
        <v>536</v>
      </c>
      <c r="B412" s="83" t="s">
        <v>2342</v>
      </c>
      <c r="D412" s="83" t="s">
        <v>688</v>
      </c>
      <c r="E412" s="83" t="s">
        <v>554</v>
      </c>
      <c r="F412" s="83" t="s">
        <v>3368</v>
      </c>
      <c r="G412" s="83" t="s">
        <v>1187</v>
      </c>
      <c r="H412" s="83" t="s">
        <v>566</v>
      </c>
      <c r="I412" s="83" t="s">
        <v>567</v>
      </c>
      <c r="J412" s="83" t="s">
        <v>564</v>
      </c>
      <c r="K412" s="83" t="s">
        <v>565</v>
      </c>
      <c r="L412" s="83" t="s">
        <v>398</v>
      </c>
      <c r="M412" s="83" t="s">
        <v>399</v>
      </c>
      <c r="N412" s="83" t="s">
        <v>2743</v>
      </c>
      <c r="O412" s="83" t="s">
        <v>106</v>
      </c>
      <c r="P412" s="83">
        <v>9</v>
      </c>
      <c r="Q412" s="83" t="s">
        <v>106</v>
      </c>
      <c r="R412" s="83" t="s">
        <v>2799</v>
      </c>
      <c r="S412" s="83" t="s">
        <v>2712</v>
      </c>
      <c r="T412" s="83" t="s">
        <v>2703</v>
      </c>
      <c r="U412" s="83" t="s">
        <v>401</v>
      </c>
      <c r="AC412" s="83" t="s">
        <v>401</v>
      </c>
      <c r="AD412" s="83">
        <v>2384000</v>
      </c>
      <c r="AF412" s="83">
        <v>330000</v>
      </c>
      <c r="AJ412" s="83">
        <v>1</v>
      </c>
      <c r="AK412" s="83">
        <v>1</v>
      </c>
      <c r="AL412" s="83">
        <v>31832</v>
      </c>
      <c r="AM412" s="83" t="s">
        <v>2693</v>
      </c>
      <c r="BK412" s="83" t="s">
        <v>2694</v>
      </c>
      <c r="BL412" s="83" t="s">
        <v>2693</v>
      </c>
      <c r="BM412" s="83" t="s">
        <v>2698</v>
      </c>
      <c r="BN412" s="83" t="s">
        <v>2698</v>
      </c>
      <c r="BO412" s="83" t="s">
        <v>2697</v>
      </c>
      <c r="BP412" s="83" t="s">
        <v>2697</v>
      </c>
      <c r="BQ412" s="83" t="s">
        <v>2699</v>
      </c>
      <c r="BR412" s="83" t="s">
        <v>2693</v>
      </c>
      <c r="BS412" s="83" t="s">
        <v>2699</v>
      </c>
      <c r="BT412" s="83" t="s">
        <v>2696</v>
      </c>
      <c r="BU412" s="83" t="s">
        <v>2699</v>
      </c>
      <c r="BV412" s="83" t="s">
        <v>2697</v>
      </c>
      <c r="BW412" s="83" t="s">
        <v>2693</v>
      </c>
      <c r="BX412" s="83" t="s">
        <v>2696</v>
      </c>
      <c r="BY412" s="83" t="s">
        <v>2699</v>
      </c>
      <c r="BZ412" s="83" t="s">
        <v>2699</v>
      </c>
      <c r="CA412" s="83" t="s">
        <v>2693</v>
      </c>
      <c r="CB412" s="83" t="s">
        <v>2694</v>
      </c>
      <c r="CC412" s="83" t="s">
        <v>2699</v>
      </c>
      <c r="CD412" s="83" t="s">
        <v>2696</v>
      </c>
      <c r="CF412" s="83" t="s">
        <v>629</v>
      </c>
      <c r="CG412" s="83" t="s">
        <v>630</v>
      </c>
      <c r="CH412" s="83" t="s">
        <v>2697</v>
      </c>
      <c r="CI412" s="83" t="s">
        <v>648</v>
      </c>
      <c r="CJ412" s="83" t="s">
        <v>2757</v>
      </c>
      <c r="CK412" s="144">
        <v>0</v>
      </c>
      <c r="CL412" s="99">
        <v>67000</v>
      </c>
    </row>
    <row r="413" spans="1:90">
      <c r="A413" s="83" t="s">
        <v>536</v>
      </c>
      <c r="B413" s="83" t="s">
        <v>2342</v>
      </c>
      <c r="D413" s="83" t="s">
        <v>714</v>
      </c>
      <c r="E413" s="83" t="s">
        <v>555</v>
      </c>
      <c r="F413" s="83" t="s">
        <v>3368</v>
      </c>
      <c r="G413" s="83" t="s">
        <v>1187</v>
      </c>
      <c r="H413" s="83" t="s">
        <v>566</v>
      </c>
      <c r="I413" s="83" t="s">
        <v>567</v>
      </c>
      <c r="J413" s="83" t="s">
        <v>564</v>
      </c>
      <c r="K413" s="83" t="s">
        <v>565</v>
      </c>
      <c r="L413" s="83" t="s">
        <v>398</v>
      </c>
      <c r="M413" s="83" t="s">
        <v>399</v>
      </c>
      <c r="N413" s="83" t="s">
        <v>2743</v>
      </c>
      <c r="O413" s="83" t="s">
        <v>106</v>
      </c>
      <c r="P413" s="83">
        <v>9</v>
      </c>
      <c r="Q413" s="83" t="s">
        <v>106</v>
      </c>
      <c r="R413" s="83" t="s">
        <v>2799</v>
      </c>
      <c r="S413" s="83" t="s">
        <v>2712</v>
      </c>
      <c r="T413" s="83" t="s">
        <v>2703</v>
      </c>
      <c r="U413" s="83" t="s">
        <v>401</v>
      </c>
      <c r="AC413" s="83" t="s">
        <v>401</v>
      </c>
      <c r="AD413" s="83">
        <v>111000</v>
      </c>
      <c r="AF413" s="83">
        <v>0</v>
      </c>
      <c r="AJ413" s="83">
        <v>1</v>
      </c>
      <c r="AK413" s="83">
        <v>1</v>
      </c>
      <c r="AL413" s="83">
        <v>784</v>
      </c>
      <c r="AM413" s="83" t="s">
        <v>2693</v>
      </c>
      <c r="BK413" s="83" t="s">
        <v>2694</v>
      </c>
      <c r="BL413" s="83" t="s">
        <v>2693</v>
      </c>
      <c r="BM413" s="83" t="s">
        <v>2698</v>
      </c>
      <c r="BN413" s="83" t="s">
        <v>2698</v>
      </c>
      <c r="BO413" s="83" t="s">
        <v>2697</v>
      </c>
      <c r="BP413" s="83" t="s">
        <v>2697</v>
      </c>
      <c r="BQ413" s="83" t="s">
        <v>2699</v>
      </c>
      <c r="BR413" s="83" t="s">
        <v>2693</v>
      </c>
      <c r="BS413" s="83" t="s">
        <v>2699</v>
      </c>
      <c r="BT413" s="83" t="s">
        <v>2696</v>
      </c>
      <c r="BU413" s="83" t="s">
        <v>2699</v>
      </c>
      <c r="BV413" s="83" t="s">
        <v>2697</v>
      </c>
      <c r="BW413" s="83" t="s">
        <v>2693</v>
      </c>
      <c r="BX413" s="83" t="s">
        <v>2696</v>
      </c>
      <c r="BY413" s="83" t="s">
        <v>2699</v>
      </c>
      <c r="BZ413" s="83" t="s">
        <v>2699</v>
      </c>
      <c r="CA413" s="83" t="s">
        <v>2693</v>
      </c>
      <c r="CB413" s="83" t="s">
        <v>2694</v>
      </c>
      <c r="CC413" s="83" t="s">
        <v>2696</v>
      </c>
      <c r="CD413" s="83" t="s">
        <v>2696</v>
      </c>
      <c r="CF413" s="83" t="s">
        <v>631</v>
      </c>
      <c r="CG413" s="83" t="s">
        <v>632</v>
      </c>
      <c r="CH413" s="83" t="s">
        <v>2697</v>
      </c>
      <c r="CI413" s="83" t="s">
        <v>648</v>
      </c>
      <c r="CJ413" s="83" t="s">
        <v>2757</v>
      </c>
      <c r="CK413" s="144">
        <v>0</v>
      </c>
      <c r="CL413"/>
    </row>
    <row r="414" spans="1:90">
      <c r="A414" s="83" t="s">
        <v>3762</v>
      </c>
      <c r="B414" s="83" t="s">
        <v>3805</v>
      </c>
      <c r="D414" s="83" t="s">
        <v>688</v>
      </c>
      <c r="E414" s="83" t="s">
        <v>3827</v>
      </c>
      <c r="F414" s="83">
        <v>50</v>
      </c>
      <c r="G414" s="83" t="s">
        <v>1197</v>
      </c>
      <c r="H414" s="83" t="s">
        <v>1201</v>
      </c>
      <c r="I414" s="83" t="s">
        <v>1202</v>
      </c>
      <c r="J414" s="83" t="s">
        <v>1203</v>
      </c>
      <c r="K414" s="83" t="s">
        <v>565</v>
      </c>
      <c r="L414" s="83" t="s">
        <v>398</v>
      </c>
      <c r="M414" s="83" t="s">
        <v>399</v>
      </c>
      <c r="N414" s="83" t="s">
        <v>2752</v>
      </c>
      <c r="O414" s="83" t="s">
        <v>106</v>
      </c>
      <c r="P414" s="83">
        <v>0</v>
      </c>
      <c r="Q414" s="83" t="s">
        <v>106</v>
      </c>
      <c r="R414" s="83">
        <v>34</v>
      </c>
      <c r="S414" s="87">
        <v>32508</v>
      </c>
      <c r="T414" s="83" t="s">
        <v>2703</v>
      </c>
      <c r="U414" s="83" t="s">
        <v>401</v>
      </c>
      <c r="AC414" s="83" t="s">
        <v>401</v>
      </c>
      <c r="AD414" s="83">
        <v>0</v>
      </c>
      <c r="AF414" s="83">
        <v>100000</v>
      </c>
      <c r="AJ414" s="83">
        <v>1</v>
      </c>
      <c r="AK414" s="82">
        <v>0</v>
      </c>
      <c r="AL414" s="83">
        <v>0</v>
      </c>
      <c r="AM414" s="83" t="s">
        <v>2693</v>
      </c>
      <c r="BK414" s="83">
        <v>0</v>
      </c>
      <c r="BL414" s="83">
        <v>0</v>
      </c>
      <c r="BM414" s="83">
        <v>0</v>
      </c>
      <c r="BN414" s="83">
        <v>0</v>
      </c>
      <c r="BO414" s="83">
        <v>0</v>
      </c>
      <c r="BP414" s="83">
        <v>0</v>
      </c>
      <c r="BQ414" s="83">
        <v>0</v>
      </c>
      <c r="BR414" s="83">
        <v>0</v>
      </c>
      <c r="BS414" s="83">
        <v>0</v>
      </c>
      <c r="BT414" s="83">
        <v>0</v>
      </c>
      <c r="BU414" s="83">
        <v>1</v>
      </c>
      <c r="BV414" s="83">
        <v>0</v>
      </c>
      <c r="BW414" s="83">
        <v>0</v>
      </c>
      <c r="BX414" s="83">
        <v>0</v>
      </c>
      <c r="BY414" s="83">
        <v>0</v>
      </c>
      <c r="BZ414" s="83">
        <v>0</v>
      </c>
      <c r="CA414" s="83">
        <v>0</v>
      </c>
      <c r="CB414" s="83">
        <v>0</v>
      </c>
      <c r="CC414" s="83">
        <v>0</v>
      </c>
      <c r="CD414" s="83">
        <v>0</v>
      </c>
      <c r="CF414" s="83" t="s">
        <v>3919</v>
      </c>
      <c r="CG414" s="83" t="s">
        <v>3920</v>
      </c>
      <c r="CK414" s="144">
        <v>0</v>
      </c>
      <c r="CL414"/>
    </row>
    <row r="415" spans="1:90">
      <c r="A415" s="83" t="s">
        <v>3763</v>
      </c>
      <c r="B415" s="83" t="s">
        <v>739</v>
      </c>
      <c r="D415" s="83" t="s">
        <v>688</v>
      </c>
      <c r="E415" s="83" t="s">
        <v>3828</v>
      </c>
      <c r="F415" s="83">
        <v>4727</v>
      </c>
      <c r="G415" s="83" t="s">
        <v>1155</v>
      </c>
      <c r="H415" s="83" t="s">
        <v>1201</v>
      </c>
      <c r="I415" s="83" t="s">
        <v>1202</v>
      </c>
      <c r="J415" s="83" t="s">
        <v>1203</v>
      </c>
      <c r="K415" s="83" t="s">
        <v>565</v>
      </c>
      <c r="L415" s="83" t="s">
        <v>398</v>
      </c>
      <c r="M415" s="83" t="s">
        <v>399</v>
      </c>
      <c r="N415" s="83" t="s">
        <v>3057</v>
      </c>
      <c r="O415" s="83" t="s">
        <v>106</v>
      </c>
      <c r="P415" s="83">
        <v>0</v>
      </c>
      <c r="Q415" s="83" t="s">
        <v>106</v>
      </c>
      <c r="R415" s="83">
        <v>34</v>
      </c>
      <c r="S415" s="87">
        <v>31412</v>
      </c>
      <c r="T415" s="83" t="s">
        <v>2703</v>
      </c>
      <c r="U415" s="83" t="s">
        <v>401</v>
      </c>
      <c r="AC415" s="83" t="s">
        <v>401</v>
      </c>
      <c r="AD415" s="83">
        <v>0</v>
      </c>
      <c r="AF415" s="83">
        <v>50000</v>
      </c>
      <c r="AJ415" s="83">
        <v>1</v>
      </c>
      <c r="AK415" s="82">
        <v>0</v>
      </c>
      <c r="AL415" s="83">
        <v>0</v>
      </c>
      <c r="AM415" s="83" t="s">
        <v>2693</v>
      </c>
      <c r="BK415" s="83">
        <v>0</v>
      </c>
      <c r="BL415" s="83">
        <v>0</v>
      </c>
      <c r="BM415" s="83">
        <v>0</v>
      </c>
      <c r="BN415" s="83">
        <v>0</v>
      </c>
      <c r="BO415" s="83">
        <v>0</v>
      </c>
      <c r="BP415" s="83">
        <v>0</v>
      </c>
      <c r="BQ415" s="83">
        <v>0</v>
      </c>
      <c r="BR415" s="83">
        <v>0</v>
      </c>
      <c r="BS415" s="83">
        <v>0</v>
      </c>
      <c r="BT415" s="83">
        <v>0</v>
      </c>
      <c r="BU415" s="83">
        <v>1</v>
      </c>
      <c r="BV415" s="83">
        <v>0</v>
      </c>
      <c r="BW415" s="83">
        <v>0</v>
      </c>
      <c r="BX415" s="83">
        <v>0</v>
      </c>
      <c r="BY415" s="83">
        <v>0</v>
      </c>
      <c r="BZ415" s="83">
        <v>0</v>
      </c>
      <c r="CA415" s="83">
        <v>0</v>
      </c>
      <c r="CB415" s="83">
        <v>0</v>
      </c>
      <c r="CC415" s="83">
        <v>0</v>
      </c>
      <c r="CD415" s="83">
        <v>0</v>
      </c>
      <c r="CF415" s="83" t="s">
        <v>812</v>
      </c>
      <c r="CG415" s="83" t="s">
        <v>3921</v>
      </c>
      <c r="CK415" s="144">
        <v>0</v>
      </c>
      <c r="CL415"/>
    </row>
    <row r="416" spans="1:90">
      <c r="A416" s="83" t="s">
        <v>3764</v>
      </c>
      <c r="B416" s="83" t="s">
        <v>739</v>
      </c>
      <c r="D416" s="83" t="s">
        <v>688</v>
      </c>
      <c r="E416" s="83" t="s">
        <v>3829</v>
      </c>
      <c r="F416" s="83">
        <v>2415</v>
      </c>
      <c r="G416" s="83" t="s">
        <v>3860</v>
      </c>
      <c r="H416" s="83" t="s">
        <v>1201</v>
      </c>
      <c r="I416" s="83" t="s">
        <v>1202</v>
      </c>
      <c r="J416" s="83" t="s">
        <v>1203</v>
      </c>
      <c r="K416" s="83" t="s">
        <v>565</v>
      </c>
      <c r="L416" s="83" t="s">
        <v>398</v>
      </c>
      <c r="M416" s="83" t="s">
        <v>399</v>
      </c>
      <c r="N416" s="83" t="s">
        <v>3057</v>
      </c>
      <c r="O416" s="83" t="s">
        <v>106</v>
      </c>
      <c r="P416" s="83">
        <v>0</v>
      </c>
      <c r="Q416" s="83" t="s">
        <v>106</v>
      </c>
      <c r="R416" s="83">
        <v>34</v>
      </c>
      <c r="S416" s="87">
        <v>31412</v>
      </c>
      <c r="T416" s="83" t="s">
        <v>2703</v>
      </c>
      <c r="U416" s="83" t="s">
        <v>401</v>
      </c>
      <c r="AC416" s="83" t="s">
        <v>401</v>
      </c>
      <c r="AD416" s="83">
        <v>0</v>
      </c>
      <c r="AF416" s="83">
        <v>60000</v>
      </c>
      <c r="AJ416" s="83">
        <v>1</v>
      </c>
      <c r="AK416" s="82">
        <v>0</v>
      </c>
      <c r="AL416" s="83">
        <v>0</v>
      </c>
      <c r="AM416" s="83" t="s">
        <v>2693</v>
      </c>
      <c r="BK416" s="83">
        <v>0</v>
      </c>
      <c r="BL416" s="83">
        <v>0</v>
      </c>
      <c r="BM416" s="83">
        <v>0</v>
      </c>
      <c r="BN416" s="83">
        <v>0</v>
      </c>
      <c r="BO416" s="83">
        <v>0</v>
      </c>
      <c r="BP416" s="83">
        <v>0</v>
      </c>
      <c r="BQ416" s="83">
        <v>0</v>
      </c>
      <c r="BR416" s="83">
        <v>0</v>
      </c>
      <c r="BS416" s="83">
        <v>0</v>
      </c>
      <c r="BT416" s="83">
        <v>0</v>
      </c>
      <c r="BU416" s="83">
        <v>1</v>
      </c>
      <c r="BV416" s="83">
        <v>0</v>
      </c>
      <c r="BW416" s="83">
        <v>0</v>
      </c>
      <c r="BX416" s="83">
        <v>0</v>
      </c>
      <c r="BY416" s="83">
        <v>0</v>
      </c>
      <c r="BZ416" s="83">
        <v>0</v>
      </c>
      <c r="CA416" s="83">
        <v>0</v>
      </c>
      <c r="CB416" s="83">
        <v>0</v>
      </c>
      <c r="CC416" s="83">
        <v>0</v>
      </c>
      <c r="CD416" s="83">
        <v>0</v>
      </c>
      <c r="CF416" s="83" t="s">
        <v>3922</v>
      </c>
      <c r="CG416" s="83" t="s">
        <v>3923</v>
      </c>
      <c r="CK416" s="144">
        <v>0</v>
      </c>
      <c r="CL416"/>
    </row>
    <row r="417" spans="1:90">
      <c r="A417" s="83" t="s">
        <v>3765</v>
      </c>
      <c r="B417" s="83" t="s">
        <v>739</v>
      </c>
      <c r="D417" s="83" t="s">
        <v>688</v>
      </c>
      <c r="E417" s="83" t="s">
        <v>3829</v>
      </c>
      <c r="F417" s="83">
        <v>12399</v>
      </c>
      <c r="G417" s="83" t="s">
        <v>3861</v>
      </c>
      <c r="H417" s="83" t="s">
        <v>1201</v>
      </c>
      <c r="I417" s="83" t="s">
        <v>1202</v>
      </c>
      <c r="J417" s="83" t="s">
        <v>1203</v>
      </c>
      <c r="K417" s="83" t="s">
        <v>565</v>
      </c>
      <c r="L417" s="83" t="s">
        <v>398</v>
      </c>
      <c r="M417" s="83" t="s">
        <v>399</v>
      </c>
      <c r="N417" s="83" t="s">
        <v>2744</v>
      </c>
      <c r="O417" s="83" t="s">
        <v>106</v>
      </c>
      <c r="P417" s="83">
        <v>0</v>
      </c>
      <c r="Q417" s="83" t="s">
        <v>106</v>
      </c>
      <c r="R417" s="83">
        <v>34</v>
      </c>
      <c r="S417" s="87">
        <v>31412</v>
      </c>
      <c r="T417" s="83" t="s">
        <v>2703</v>
      </c>
      <c r="U417" s="83" t="s">
        <v>401</v>
      </c>
      <c r="AC417" s="83" t="s">
        <v>401</v>
      </c>
      <c r="AD417" s="83">
        <v>0</v>
      </c>
      <c r="AF417" s="83">
        <v>60000</v>
      </c>
      <c r="AJ417" s="83">
        <v>1</v>
      </c>
      <c r="AK417" s="82">
        <v>0</v>
      </c>
      <c r="AL417" s="83">
        <v>0</v>
      </c>
      <c r="AM417" s="83" t="s">
        <v>2693</v>
      </c>
      <c r="BK417" s="83">
        <v>0</v>
      </c>
      <c r="BL417" s="83">
        <v>0</v>
      </c>
      <c r="BM417" s="83">
        <v>0</v>
      </c>
      <c r="BN417" s="83">
        <v>0</v>
      </c>
      <c r="BO417" s="83">
        <v>0</v>
      </c>
      <c r="BP417" s="83">
        <v>0</v>
      </c>
      <c r="BQ417" s="83">
        <v>0</v>
      </c>
      <c r="BR417" s="83">
        <v>0</v>
      </c>
      <c r="BS417" s="83">
        <v>0</v>
      </c>
      <c r="BT417" s="83">
        <v>0</v>
      </c>
      <c r="BU417" s="83">
        <v>1</v>
      </c>
      <c r="BV417" s="83">
        <v>0</v>
      </c>
      <c r="BW417" s="83">
        <v>0</v>
      </c>
      <c r="BX417" s="83">
        <v>0</v>
      </c>
      <c r="BY417" s="83">
        <v>0</v>
      </c>
      <c r="BZ417" s="83">
        <v>0</v>
      </c>
      <c r="CA417" s="83">
        <v>0</v>
      </c>
      <c r="CB417" s="83">
        <v>0</v>
      </c>
      <c r="CC417" s="83">
        <v>0</v>
      </c>
      <c r="CD417" s="83">
        <v>0</v>
      </c>
      <c r="CF417" s="83" t="s">
        <v>3924</v>
      </c>
      <c r="CG417" s="83" t="s">
        <v>3925</v>
      </c>
      <c r="CK417" s="144">
        <v>0</v>
      </c>
      <c r="CL417"/>
    </row>
    <row r="418" spans="1:90">
      <c r="A418" s="83" t="s">
        <v>3766</v>
      </c>
      <c r="B418" s="83" t="s">
        <v>739</v>
      </c>
      <c r="D418" s="83" t="s">
        <v>688</v>
      </c>
      <c r="E418" s="83" t="s">
        <v>3830</v>
      </c>
      <c r="F418" s="83">
        <v>2961</v>
      </c>
      <c r="G418" s="83" t="s">
        <v>3862</v>
      </c>
      <c r="H418" s="83" t="s">
        <v>1201</v>
      </c>
      <c r="I418" s="83" t="s">
        <v>1202</v>
      </c>
      <c r="J418" s="83" t="s">
        <v>1203</v>
      </c>
      <c r="K418" s="83" t="s">
        <v>565</v>
      </c>
      <c r="L418" s="83" t="s">
        <v>398</v>
      </c>
      <c r="M418" s="83" t="s">
        <v>399</v>
      </c>
      <c r="N418" s="83" t="s">
        <v>3057</v>
      </c>
      <c r="O418" s="83" t="s">
        <v>106</v>
      </c>
      <c r="P418" s="83">
        <v>0</v>
      </c>
      <c r="Q418" s="83" t="s">
        <v>106</v>
      </c>
      <c r="R418" s="83">
        <v>34</v>
      </c>
      <c r="S418" s="87">
        <v>31412</v>
      </c>
      <c r="T418" s="83" t="s">
        <v>2703</v>
      </c>
      <c r="U418" s="83" t="s">
        <v>401</v>
      </c>
      <c r="AC418" s="83" t="s">
        <v>401</v>
      </c>
      <c r="AD418" s="83">
        <v>0</v>
      </c>
      <c r="AF418" s="83">
        <v>60000</v>
      </c>
      <c r="AJ418" s="83">
        <v>1</v>
      </c>
      <c r="AK418" s="82">
        <v>0</v>
      </c>
      <c r="AL418" s="83">
        <v>0</v>
      </c>
      <c r="AM418" s="83" t="s">
        <v>2693</v>
      </c>
      <c r="BK418" s="83">
        <v>0</v>
      </c>
      <c r="BL418" s="83">
        <v>0</v>
      </c>
      <c r="BM418" s="83">
        <v>0</v>
      </c>
      <c r="BN418" s="83">
        <v>0</v>
      </c>
      <c r="BO418" s="83">
        <v>0</v>
      </c>
      <c r="BP418" s="83">
        <v>0</v>
      </c>
      <c r="BQ418" s="83">
        <v>0</v>
      </c>
      <c r="BR418" s="83">
        <v>0</v>
      </c>
      <c r="BS418" s="83">
        <v>0</v>
      </c>
      <c r="BT418" s="83">
        <v>0</v>
      </c>
      <c r="BU418" s="83">
        <v>1</v>
      </c>
      <c r="BV418" s="83">
        <v>0</v>
      </c>
      <c r="BW418" s="83">
        <v>0</v>
      </c>
      <c r="BX418" s="83">
        <v>0</v>
      </c>
      <c r="BY418" s="83">
        <v>0</v>
      </c>
      <c r="BZ418" s="83">
        <v>0</v>
      </c>
      <c r="CA418" s="83">
        <v>0</v>
      </c>
      <c r="CB418" s="83">
        <v>0</v>
      </c>
      <c r="CC418" s="83">
        <v>0</v>
      </c>
      <c r="CD418" s="83">
        <v>0</v>
      </c>
      <c r="CF418" s="83" t="s">
        <v>3926</v>
      </c>
      <c r="CG418" s="83" t="s">
        <v>3927</v>
      </c>
      <c r="CK418" s="144">
        <v>0</v>
      </c>
      <c r="CL418"/>
    </row>
    <row r="419" spans="1:90">
      <c r="A419" s="83" t="s">
        <v>3767</v>
      </c>
      <c r="B419" s="83" t="s">
        <v>739</v>
      </c>
      <c r="D419" s="83" t="s">
        <v>688</v>
      </c>
      <c r="E419" s="83" t="s">
        <v>3831</v>
      </c>
      <c r="F419" s="83">
        <v>617</v>
      </c>
      <c r="G419" s="83" t="s">
        <v>1187</v>
      </c>
      <c r="H419" s="83" t="s">
        <v>1201</v>
      </c>
      <c r="I419" s="83" t="s">
        <v>1202</v>
      </c>
      <c r="J419" s="83" t="s">
        <v>1203</v>
      </c>
      <c r="K419" s="83" t="s">
        <v>565</v>
      </c>
      <c r="L419" s="83" t="s">
        <v>398</v>
      </c>
      <c r="M419" s="83" t="s">
        <v>399</v>
      </c>
      <c r="N419" s="83" t="s">
        <v>2743</v>
      </c>
      <c r="O419" s="83" t="s">
        <v>106</v>
      </c>
      <c r="P419" s="83">
        <v>0</v>
      </c>
      <c r="Q419" s="83" t="s">
        <v>106</v>
      </c>
      <c r="R419" s="83">
        <v>34</v>
      </c>
      <c r="S419" s="87">
        <v>31412</v>
      </c>
      <c r="T419" s="83" t="s">
        <v>2703</v>
      </c>
      <c r="U419" s="83" t="s">
        <v>401</v>
      </c>
      <c r="AC419" s="83" t="s">
        <v>401</v>
      </c>
      <c r="AD419" s="83">
        <v>0</v>
      </c>
      <c r="AF419" s="83">
        <v>100000</v>
      </c>
      <c r="AJ419" s="83">
        <v>1</v>
      </c>
      <c r="AK419" s="82">
        <v>0</v>
      </c>
      <c r="AL419" s="83">
        <v>0</v>
      </c>
      <c r="AM419" s="83" t="s">
        <v>2693</v>
      </c>
      <c r="BK419" s="83">
        <v>0</v>
      </c>
      <c r="BL419" s="83">
        <v>0</v>
      </c>
      <c r="BM419" s="83">
        <v>0</v>
      </c>
      <c r="BN419" s="83">
        <v>0</v>
      </c>
      <c r="BO419" s="83">
        <v>0</v>
      </c>
      <c r="BP419" s="83">
        <v>0</v>
      </c>
      <c r="BQ419" s="83">
        <v>0</v>
      </c>
      <c r="BR419" s="83">
        <v>0</v>
      </c>
      <c r="BS419" s="83">
        <v>0</v>
      </c>
      <c r="BT419" s="83">
        <v>0</v>
      </c>
      <c r="BU419" s="83">
        <v>1</v>
      </c>
      <c r="BV419" s="83">
        <v>0</v>
      </c>
      <c r="BW419" s="83">
        <v>0</v>
      </c>
      <c r="BX419" s="83">
        <v>0</v>
      </c>
      <c r="BY419" s="83">
        <v>0</v>
      </c>
      <c r="BZ419" s="83">
        <v>0</v>
      </c>
      <c r="CA419" s="83">
        <v>0</v>
      </c>
      <c r="CB419" s="83">
        <v>0</v>
      </c>
      <c r="CC419" s="83">
        <v>0</v>
      </c>
      <c r="CD419" s="83">
        <v>0</v>
      </c>
      <c r="CF419" s="83" t="s">
        <v>3928</v>
      </c>
      <c r="CG419" s="83" t="s">
        <v>1439</v>
      </c>
      <c r="CK419" s="144">
        <v>0</v>
      </c>
      <c r="CL419"/>
    </row>
    <row r="420" spans="1:90">
      <c r="A420" s="83" t="s">
        <v>3768</v>
      </c>
      <c r="B420" s="83" t="s">
        <v>739</v>
      </c>
      <c r="D420" s="83" t="s">
        <v>688</v>
      </c>
      <c r="E420" s="83" t="s">
        <v>3832</v>
      </c>
      <c r="F420" s="83">
        <v>2020</v>
      </c>
      <c r="G420" s="83" t="s">
        <v>2268</v>
      </c>
      <c r="H420" s="83" t="s">
        <v>1201</v>
      </c>
      <c r="I420" s="83" t="s">
        <v>1202</v>
      </c>
      <c r="J420" s="83" t="s">
        <v>1203</v>
      </c>
      <c r="K420" s="83" t="s">
        <v>565</v>
      </c>
      <c r="L420" s="83" t="s">
        <v>398</v>
      </c>
      <c r="M420" s="83" t="s">
        <v>399</v>
      </c>
      <c r="N420" s="83" t="s">
        <v>2705</v>
      </c>
      <c r="O420" s="83" t="s">
        <v>106</v>
      </c>
      <c r="P420" s="83">
        <v>0</v>
      </c>
      <c r="Q420" s="83" t="s">
        <v>106</v>
      </c>
      <c r="R420" s="83">
        <v>34</v>
      </c>
      <c r="S420" s="87">
        <v>31412</v>
      </c>
      <c r="T420" s="83" t="s">
        <v>2703</v>
      </c>
      <c r="U420" s="83" t="s">
        <v>401</v>
      </c>
      <c r="AC420" s="83" t="s">
        <v>401</v>
      </c>
      <c r="AD420" s="83">
        <v>0</v>
      </c>
      <c r="AF420" s="83">
        <v>10000</v>
      </c>
      <c r="AJ420" s="83">
        <v>1</v>
      </c>
      <c r="AK420" s="82">
        <v>0</v>
      </c>
      <c r="AL420" s="83">
        <v>0</v>
      </c>
      <c r="AM420" s="83" t="s">
        <v>2693</v>
      </c>
      <c r="BK420" s="83">
        <v>0</v>
      </c>
      <c r="BL420" s="83">
        <v>0</v>
      </c>
      <c r="BM420" s="83">
        <v>0</v>
      </c>
      <c r="BN420" s="83">
        <v>0</v>
      </c>
      <c r="BO420" s="83">
        <v>0</v>
      </c>
      <c r="BP420" s="83">
        <v>0</v>
      </c>
      <c r="BQ420" s="83">
        <v>0</v>
      </c>
      <c r="BR420" s="83">
        <v>0</v>
      </c>
      <c r="BS420" s="83">
        <v>0</v>
      </c>
      <c r="BT420" s="83">
        <v>0</v>
      </c>
      <c r="BU420" s="83">
        <v>1</v>
      </c>
      <c r="BV420" s="83">
        <v>0</v>
      </c>
      <c r="BW420" s="83">
        <v>0</v>
      </c>
      <c r="BX420" s="83">
        <v>0</v>
      </c>
      <c r="BY420" s="83">
        <v>0</v>
      </c>
      <c r="BZ420" s="83">
        <v>0</v>
      </c>
      <c r="CA420" s="83">
        <v>0</v>
      </c>
      <c r="CB420" s="83">
        <v>0</v>
      </c>
      <c r="CC420" s="83">
        <v>0</v>
      </c>
      <c r="CD420" s="83">
        <v>0</v>
      </c>
      <c r="CF420" s="83" t="s">
        <v>1946</v>
      </c>
      <c r="CG420" s="83" t="s">
        <v>3929</v>
      </c>
      <c r="CK420" s="144">
        <v>0</v>
      </c>
      <c r="CL420"/>
    </row>
    <row r="421" spans="1:90">
      <c r="A421" s="83" t="s">
        <v>3769</v>
      </c>
      <c r="B421" s="83" t="s">
        <v>739</v>
      </c>
      <c r="D421" s="83" t="s">
        <v>688</v>
      </c>
      <c r="E421" s="83" t="s">
        <v>3833</v>
      </c>
      <c r="F421" s="83">
        <v>12337</v>
      </c>
      <c r="G421" s="83" t="s">
        <v>2305</v>
      </c>
      <c r="H421" s="83" t="s">
        <v>1201</v>
      </c>
      <c r="I421" s="83" t="s">
        <v>1202</v>
      </c>
      <c r="J421" s="83" t="s">
        <v>1203</v>
      </c>
      <c r="K421" s="83" t="s">
        <v>565</v>
      </c>
      <c r="L421" s="83" t="s">
        <v>398</v>
      </c>
      <c r="M421" s="83" t="s">
        <v>399</v>
      </c>
      <c r="N421" s="83" t="s">
        <v>2833</v>
      </c>
      <c r="O421" s="83" t="s">
        <v>106</v>
      </c>
      <c r="P421" s="83">
        <v>0</v>
      </c>
      <c r="Q421" s="83" t="s">
        <v>106</v>
      </c>
      <c r="R421" s="83">
        <v>34</v>
      </c>
      <c r="S421" s="87">
        <v>31412</v>
      </c>
      <c r="T421" s="83" t="s">
        <v>2703</v>
      </c>
      <c r="U421" s="83" t="s">
        <v>401</v>
      </c>
      <c r="AC421" s="83" t="s">
        <v>401</v>
      </c>
      <c r="AD421" s="83">
        <v>0</v>
      </c>
      <c r="AF421" s="83">
        <v>40000</v>
      </c>
      <c r="AJ421" s="83">
        <v>1</v>
      </c>
      <c r="AK421" s="82">
        <v>0</v>
      </c>
      <c r="AL421" s="83">
        <v>0</v>
      </c>
      <c r="AM421" s="83" t="s">
        <v>2693</v>
      </c>
      <c r="BK421" s="83">
        <v>0</v>
      </c>
      <c r="BL421" s="83">
        <v>0</v>
      </c>
      <c r="BM421" s="83">
        <v>0</v>
      </c>
      <c r="BN421" s="83">
        <v>0</v>
      </c>
      <c r="BO421" s="83">
        <v>0</v>
      </c>
      <c r="BP421" s="83">
        <v>0</v>
      </c>
      <c r="BQ421" s="83">
        <v>0</v>
      </c>
      <c r="BR421" s="83">
        <v>0</v>
      </c>
      <c r="BS421" s="83">
        <v>0</v>
      </c>
      <c r="BT421" s="83">
        <v>0</v>
      </c>
      <c r="BU421" s="83">
        <v>1</v>
      </c>
      <c r="BV421" s="83">
        <v>0</v>
      </c>
      <c r="BW421" s="83">
        <v>0</v>
      </c>
      <c r="BX421" s="83">
        <v>0</v>
      </c>
      <c r="BY421" s="83">
        <v>0</v>
      </c>
      <c r="BZ421" s="83">
        <v>0</v>
      </c>
      <c r="CA421" s="83">
        <v>0</v>
      </c>
      <c r="CB421" s="83">
        <v>0</v>
      </c>
      <c r="CC421" s="83">
        <v>0</v>
      </c>
      <c r="CD421" s="83">
        <v>0</v>
      </c>
      <c r="CF421" s="83" t="s">
        <v>3930</v>
      </c>
      <c r="CG421" s="83" t="s">
        <v>3931</v>
      </c>
      <c r="CK421" s="144">
        <v>0</v>
      </c>
      <c r="CL421"/>
    </row>
    <row r="422" spans="1:90">
      <c r="A422" s="83" t="s">
        <v>3770</v>
      </c>
      <c r="B422" s="83" t="s">
        <v>739</v>
      </c>
      <c r="D422" s="83" t="s">
        <v>688</v>
      </c>
      <c r="E422" s="83" t="s">
        <v>3829</v>
      </c>
      <c r="F422" s="83">
        <v>5120</v>
      </c>
      <c r="G422" s="83" t="s">
        <v>3863</v>
      </c>
      <c r="H422" s="83" t="s">
        <v>1201</v>
      </c>
      <c r="I422" s="83" t="s">
        <v>1202</v>
      </c>
      <c r="J422" s="83" t="s">
        <v>1203</v>
      </c>
      <c r="K422" s="83" t="s">
        <v>565</v>
      </c>
      <c r="L422" s="83" t="s">
        <v>398</v>
      </c>
      <c r="M422" s="83" t="s">
        <v>399</v>
      </c>
      <c r="N422" s="83" t="s">
        <v>2711</v>
      </c>
      <c r="O422" s="83" t="s">
        <v>106</v>
      </c>
      <c r="P422" s="83">
        <v>0</v>
      </c>
      <c r="Q422" s="83" t="s">
        <v>106</v>
      </c>
      <c r="R422" s="83">
        <v>34</v>
      </c>
      <c r="S422" s="87">
        <v>31412</v>
      </c>
      <c r="T422" s="83" t="s">
        <v>2703</v>
      </c>
      <c r="U422" s="83" t="s">
        <v>401</v>
      </c>
      <c r="AC422" s="83" t="s">
        <v>401</v>
      </c>
      <c r="AD422" s="83">
        <v>0</v>
      </c>
      <c r="AF422" s="83">
        <v>60000</v>
      </c>
      <c r="AJ422" s="83">
        <v>1</v>
      </c>
      <c r="AK422" s="82">
        <v>0</v>
      </c>
      <c r="AL422" s="83">
        <v>0</v>
      </c>
      <c r="AM422" s="83" t="s">
        <v>2693</v>
      </c>
      <c r="BK422" s="83">
        <v>0</v>
      </c>
      <c r="BL422" s="83">
        <v>0</v>
      </c>
      <c r="BM422" s="83">
        <v>0</v>
      </c>
      <c r="BN422" s="83">
        <v>0</v>
      </c>
      <c r="BO422" s="83">
        <v>0</v>
      </c>
      <c r="BP422" s="83">
        <v>0</v>
      </c>
      <c r="BQ422" s="83">
        <v>0</v>
      </c>
      <c r="BR422" s="83">
        <v>0</v>
      </c>
      <c r="BS422" s="83">
        <v>0</v>
      </c>
      <c r="BT422" s="83">
        <v>0</v>
      </c>
      <c r="BU422" s="83">
        <v>1</v>
      </c>
      <c r="BV422" s="83">
        <v>0</v>
      </c>
      <c r="BW422" s="83">
        <v>0</v>
      </c>
      <c r="BX422" s="83">
        <v>0</v>
      </c>
      <c r="BY422" s="83">
        <v>0</v>
      </c>
      <c r="BZ422" s="83">
        <v>0</v>
      </c>
      <c r="CA422" s="83">
        <v>0</v>
      </c>
      <c r="CB422" s="83">
        <v>0</v>
      </c>
      <c r="CC422" s="83">
        <v>0</v>
      </c>
      <c r="CD422" s="83">
        <v>0</v>
      </c>
      <c r="CF422" s="83" t="s">
        <v>3932</v>
      </c>
      <c r="CG422" s="83" t="s">
        <v>3933</v>
      </c>
      <c r="CK422" s="144">
        <v>0</v>
      </c>
      <c r="CL422"/>
    </row>
    <row r="423" spans="1:90">
      <c r="A423" s="83" t="s">
        <v>3696</v>
      </c>
      <c r="B423" s="83" t="s">
        <v>739</v>
      </c>
      <c r="D423" s="83" t="s">
        <v>688</v>
      </c>
      <c r="E423" s="83" t="s">
        <v>3697</v>
      </c>
      <c r="F423" s="83" t="s">
        <v>3698</v>
      </c>
      <c r="G423" s="83" t="s">
        <v>2458</v>
      </c>
      <c r="H423" s="83" t="s">
        <v>1201</v>
      </c>
      <c r="I423" s="83" t="s">
        <v>1202</v>
      </c>
      <c r="J423" s="83" t="s">
        <v>1203</v>
      </c>
      <c r="K423" s="83" t="s">
        <v>565</v>
      </c>
      <c r="L423" s="83" t="s">
        <v>398</v>
      </c>
      <c r="M423" s="83" t="s">
        <v>399</v>
      </c>
      <c r="N423" s="83" t="s">
        <v>3699</v>
      </c>
      <c r="O423" s="83" t="s">
        <v>106</v>
      </c>
      <c r="P423" s="83">
        <v>0</v>
      </c>
      <c r="Q423" s="83" t="s">
        <v>106</v>
      </c>
      <c r="R423" s="83">
        <v>34</v>
      </c>
      <c r="S423" s="87">
        <v>31412</v>
      </c>
      <c r="T423" s="83" t="s">
        <v>2703</v>
      </c>
      <c r="U423" s="83" t="s">
        <v>401</v>
      </c>
      <c r="AC423" s="83" t="s">
        <v>401</v>
      </c>
      <c r="AD423" s="83">
        <v>0</v>
      </c>
      <c r="AF423" s="83">
        <v>10000</v>
      </c>
      <c r="AJ423" s="83">
        <v>1</v>
      </c>
      <c r="AK423" s="83">
        <v>0</v>
      </c>
      <c r="AL423" s="83">
        <v>0</v>
      </c>
      <c r="AM423" s="83" t="s">
        <v>2693</v>
      </c>
      <c r="BK423" s="83" t="s">
        <v>2696</v>
      </c>
      <c r="BL423" s="83" t="s">
        <v>2696</v>
      </c>
      <c r="BM423" s="83" t="s">
        <v>2696</v>
      </c>
      <c r="BN423" s="83" t="s">
        <v>2696</v>
      </c>
      <c r="BO423" s="83" t="s">
        <v>2696</v>
      </c>
      <c r="BP423" s="83" t="s">
        <v>2696</v>
      </c>
      <c r="BQ423" s="83" t="s">
        <v>2696</v>
      </c>
      <c r="BR423" s="83" t="s">
        <v>2696</v>
      </c>
      <c r="BS423" s="83" t="s">
        <v>2696</v>
      </c>
      <c r="BT423" s="83" t="s">
        <v>2696</v>
      </c>
      <c r="BU423" s="83">
        <v>1</v>
      </c>
      <c r="BV423" s="83" t="s">
        <v>2696</v>
      </c>
      <c r="BW423" s="83" t="s">
        <v>2696</v>
      </c>
      <c r="BX423" s="83" t="s">
        <v>2696</v>
      </c>
      <c r="BY423" s="83" t="s">
        <v>2696</v>
      </c>
      <c r="BZ423" s="83" t="s">
        <v>2696</v>
      </c>
      <c r="CA423" s="83" t="s">
        <v>2696</v>
      </c>
      <c r="CB423" s="83" t="s">
        <v>2696</v>
      </c>
      <c r="CC423" s="83" t="s">
        <v>2696</v>
      </c>
      <c r="CD423" s="83" t="s">
        <v>2696</v>
      </c>
      <c r="CF423" s="83" t="s">
        <v>3700</v>
      </c>
      <c r="CG423" s="83" t="s">
        <v>3701</v>
      </c>
      <c r="CK423" s="144">
        <v>0</v>
      </c>
      <c r="CL423"/>
    </row>
    <row r="424" spans="1:90">
      <c r="A424" s="83" t="s">
        <v>3771</v>
      </c>
      <c r="B424" s="83" t="s">
        <v>739</v>
      </c>
      <c r="D424" s="83" t="s">
        <v>688</v>
      </c>
      <c r="E424" s="83" t="s">
        <v>3834</v>
      </c>
      <c r="F424" s="83">
        <v>113</v>
      </c>
      <c r="G424" s="83" t="s">
        <v>3864</v>
      </c>
      <c r="H424" s="83" t="s">
        <v>1201</v>
      </c>
      <c r="I424" s="83" t="s">
        <v>1202</v>
      </c>
      <c r="J424" s="83" t="s">
        <v>1203</v>
      </c>
      <c r="K424" s="83" t="s">
        <v>565</v>
      </c>
      <c r="L424" s="83" t="s">
        <v>398</v>
      </c>
      <c r="M424" s="83" t="s">
        <v>399</v>
      </c>
      <c r="N424" s="83" t="s">
        <v>2832</v>
      </c>
      <c r="O424" s="83" t="s">
        <v>106</v>
      </c>
      <c r="P424" s="83">
        <v>0</v>
      </c>
      <c r="Q424" s="83" t="s">
        <v>106</v>
      </c>
      <c r="R424" s="83">
        <v>34</v>
      </c>
      <c r="S424" s="87">
        <v>31412</v>
      </c>
      <c r="T424" s="83" t="s">
        <v>2703</v>
      </c>
      <c r="U424" s="83" t="s">
        <v>401</v>
      </c>
      <c r="AC424" s="83" t="s">
        <v>401</v>
      </c>
      <c r="AD424" s="83">
        <v>0</v>
      </c>
      <c r="AF424" s="83">
        <v>20000</v>
      </c>
      <c r="AJ424" s="83">
        <v>1</v>
      </c>
      <c r="AK424" s="82">
        <v>0</v>
      </c>
      <c r="AL424" s="83">
        <v>0</v>
      </c>
      <c r="AM424" s="83" t="s">
        <v>2693</v>
      </c>
      <c r="BK424" s="83">
        <v>0</v>
      </c>
      <c r="BL424" s="83">
        <v>0</v>
      </c>
      <c r="BM424" s="83">
        <v>0</v>
      </c>
      <c r="BN424" s="83">
        <v>0</v>
      </c>
      <c r="BO424" s="83">
        <v>0</v>
      </c>
      <c r="BP424" s="83">
        <v>0</v>
      </c>
      <c r="BQ424" s="83">
        <v>0</v>
      </c>
      <c r="BR424" s="83">
        <v>0</v>
      </c>
      <c r="BS424" s="83">
        <v>0</v>
      </c>
      <c r="BT424" s="83">
        <v>0</v>
      </c>
      <c r="BU424" s="83">
        <v>1</v>
      </c>
      <c r="BV424" s="83">
        <v>0</v>
      </c>
      <c r="BW424" s="83">
        <v>0</v>
      </c>
      <c r="BX424" s="83">
        <v>0</v>
      </c>
      <c r="BY424" s="83">
        <v>0</v>
      </c>
      <c r="BZ424" s="83">
        <v>0</v>
      </c>
      <c r="CA424" s="83">
        <v>0</v>
      </c>
      <c r="CB424" s="83">
        <v>0</v>
      </c>
      <c r="CC424" s="83">
        <v>0</v>
      </c>
      <c r="CD424" s="83">
        <v>0</v>
      </c>
      <c r="CF424" s="83" t="s">
        <v>3934</v>
      </c>
      <c r="CG424" s="83" t="s">
        <v>3935</v>
      </c>
      <c r="CK424" s="144">
        <v>0</v>
      </c>
      <c r="CL424"/>
    </row>
    <row r="425" spans="1:90">
      <c r="A425" s="83" t="s">
        <v>3772</v>
      </c>
      <c r="B425" s="83" t="s">
        <v>739</v>
      </c>
      <c r="D425" s="83" t="s">
        <v>688</v>
      </c>
      <c r="E425" s="83" t="s">
        <v>3829</v>
      </c>
      <c r="F425" s="83">
        <v>4830</v>
      </c>
      <c r="G425" s="83" t="s">
        <v>2311</v>
      </c>
      <c r="H425" s="83" t="s">
        <v>1201</v>
      </c>
      <c r="I425" s="83" t="s">
        <v>1202</v>
      </c>
      <c r="J425" s="83" t="s">
        <v>1203</v>
      </c>
      <c r="K425" s="83" t="s">
        <v>565</v>
      </c>
      <c r="L425" s="83" t="s">
        <v>398</v>
      </c>
      <c r="M425" s="83" t="s">
        <v>399</v>
      </c>
      <c r="N425" s="83" t="s">
        <v>3174</v>
      </c>
      <c r="O425" s="83" t="s">
        <v>106</v>
      </c>
      <c r="P425" s="83">
        <v>0</v>
      </c>
      <c r="Q425" s="83" t="s">
        <v>106</v>
      </c>
      <c r="R425" s="83">
        <v>34</v>
      </c>
      <c r="S425" s="87">
        <v>31412</v>
      </c>
      <c r="T425" s="83" t="s">
        <v>2703</v>
      </c>
      <c r="U425" s="83" t="s">
        <v>401</v>
      </c>
      <c r="AC425" s="83" t="s">
        <v>401</v>
      </c>
      <c r="AD425" s="83">
        <v>0</v>
      </c>
      <c r="AF425" s="83">
        <v>60000</v>
      </c>
      <c r="AJ425" s="83">
        <v>1</v>
      </c>
      <c r="AK425" s="82">
        <v>0</v>
      </c>
      <c r="AL425" s="83">
        <v>0</v>
      </c>
      <c r="AM425" s="83" t="s">
        <v>2693</v>
      </c>
      <c r="BK425" s="83">
        <v>0</v>
      </c>
      <c r="BL425" s="83">
        <v>0</v>
      </c>
      <c r="BM425" s="83">
        <v>0</v>
      </c>
      <c r="BN425" s="83">
        <v>0</v>
      </c>
      <c r="BO425" s="83">
        <v>0</v>
      </c>
      <c r="BP425" s="83">
        <v>0</v>
      </c>
      <c r="BQ425" s="83">
        <v>0</v>
      </c>
      <c r="BR425" s="83">
        <v>0</v>
      </c>
      <c r="BS425" s="83">
        <v>0</v>
      </c>
      <c r="BT425" s="83">
        <v>0</v>
      </c>
      <c r="BU425" s="83">
        <v>1</v>
      </c>
      <c r="BV425" s="83">
        <v>0</v>
      </c>
      <c r="BW425" s="83">
        <v>0</v>
      </c>
      <c r="BX425" s="83">
        <v>0</v>
      </c>
      <c r="BY425" s="83">
        <v>0</v>
      </c>
      <c r="BZ425" s="83">
        <v>0</v>
      </c>
      <c r="CA425" s="83">
        <v>0</v>
      </c>
      <c r="CB425" s="83">
        <v>0</v>
      </c>
      <c r="CC425" s="83">
        <v>0</v>
      </c>
      <c r="CD425" s="83">
        <v>0</v>
      </c>
      <c r="CF425" s="83" t="s">
        <v>3936</v>
      </c>
      <c r="CG425" s="83" t="s">
        <v>3937</v>
      </c>
      <c r="CK425" s="144">
        <v>0</v>
      </c>
      <c r="CL425"/>
    </row>
    <row r="426" spans="1:90">
      <c r="A426" s="83" t="s">
        <v>3773</v>
      </c>
      <c r="B426" s="83" t="s">
        <v>739</v>
      </c>
      <c r="D426" s="83" t="s">
        <v>688</v>
      </c>
      <c r="E426" s="83" t="s">
        <v>3829</v>
      </c>
      <c r="F426" s="83">
        <v>10940</v>
      </c>
      <c r="G426" s="83" t="s">
        <v>1826</v>
      </c>
      <c r="H426" s="83" t="s">
        <v>1201</v>
      </c>
      <c r="I426" s="83" t="s">
        <v>1202</v>
      </c>
      <c r="J426" s="83" t="s">
        <v>1203</v>
      </c>
      <c r="K426" s="83" t="s">
        <v>565</v>
      </c>
      <c r="L426" s="83" t="s">
        <v>398</v>
      </c>
      <c r="M426" s="83" t="s">
        <v>399</v>
      </c>
      <c r="N426" s="83" t="s">
        <v>2735</v>
      </c>
      <c r="O426" s="83" t="s">
        <v>106</v>
      </c>
      <c r="P426" s="83">
        <v>0</v>
      </c>
      <c r="Q426" s="83" t="s">
        <v>106</v>
      </c>
      <c r="R426" s="83">
        <v>34</v>
      </c>
      <c r="S426" s="87">
        <v>31412</v>
      </c>
      <c r="T426" s="83" t="s">
        <v>2703</v>
      </c>
      <c r="U426" s="83" t="s">
        <v>401</v>
      </c>
      <c r="AC426" s="83" t="s">
        <v>401</v>
      </c>
      <c r="AD426" s="83">
        <v>0</v>
      </c>
      <c r="AF426" s="83">
        <v>60000</v>
      </c>
      <c r="AJ426" s="83">
        <v>1</v>
      </c>
      <c r="AK426" s="82">
        <v>0</v>
      </c>
      <c r="AL426" s="83">
        <v>0</v>
      </c>
      <c r="AM426" s="83" t="s">
        <v>2693</v>
      </c>
      <c r="BK426" s="83">
        <v>0</v>
      </c>
      <c r="BL426" s="83">
        <v>0</v>
      </c>
      <c r="BM426" s="83">
        <v>0</v>
      </c>
      <c r="BN426" s="83">
        <v>0</v>
      </c>
      <c r="BO426" s="83">
        <v>0</v>
      </c>
      <c r="BP426" s="83">
        <v>0</v>
      </c>
      <c r="BQ426" s="83">
        <v>0</v>
      </c>
      <c r="BR426" s="83">
        <v>0</v>
      </c>
      <c r="BS426" s="83">
        <v>0</v>
      </c>
      <c r="BT426" s="83">
        <v>0</v>
      </c>
      <c r="BU426" s="83">
        <v>1</v>
      </c>
      <c r="BV426" s="83">
        <v>0</v>
      </c>
      <c r="BW426" s="83">
        <v>0</v>
      </c>
      <c r="BX426" s="83">
        <v>0</v>
      </c>
      <c r="BY426" s="83">
        <v>0</v>
      </c>
      <c r="BZ426" s="83">
        <v>0</v>
      </c>
      <c r="CA426" s="83">
        <v>0</v>
      </c>
      <c r="CB426" s="83">
        <v>0</v>
      </c>
      <c r="CC426" s="83">
        <v>0</v>
      </c>
      <c r="CD426" s="83">
        <v>0</v>
      </c>
      <c r="CF426" s="83" t="s">
        <v>3938</v>
      </c>
      <c r="CG426" s="83" t="s">
        <v>3939</v>
      </c>
      <c r="CK426" s="144">
        <v>0</v>
      </c>
      <c r="CL426"/>
    </row>
    <row r="427" spans="1:90">
      <c r="A427" s="83" t="s">
        <v>3678</v>
      </c>
      <c r="B427" s="83" t="s">
        <v>739</v>
      </c>
      <c r="D427" s="83" t="s">
        <v>688</v>
      </c>
      <c r="E427" s="83" t="s">
        <v>3835</v>
      </c>
      <c r="F427" s="83">
        <v>9801</v>
      </c>
      <c r="G427" s="83" t="s">
        <v>2442</v>
      </c>
      <c r="H427" s="83" t="s">
        <v>1201</v>
      </c>
      <c r="I427" s="83" t="s">
        <v>1202</v>
      </c>
      <c r="J427" s="83" t="s">
        <v>1203</v>
      </c>
      <c r="K427" s="83" t="s">
        <v>565</v>
      </c>
      <c r="L427" s="83" t="s">
        <v>398</v>
      </c>
      <c r="M427" s="83" t="s">
        <v>399</v>
      </c>
      <c r="N427" s="83" t="s">
        <v>1909</v>
      </c>
      <c r="O427" s="83" t="s">
        <v>106</v>
      </c>
      <c r="P427" s="83">
        <v>0</v>
      </c>
      <c r="Q427" s="83" t="s">
        <v>106</v>
      </c>
      <c r="R427" s="83">
        <v>34</v>
      </c>
      <c r="S427" s="87">
        <v>31412</v>
      </c>
      <c r="T427" s="83" t="s">
        <v>2703</v>
      </c>
      <c r="U427" s="83" t="s">
        <v>401</v>
      </c>
      <c r="AC427" s="83" t="s">
        <v>401</v>
      </c>
      <c r="AD427" s="83">
        <v>0</v>
      </c>
      <c r="AF427" s="83">
        <v>10000</v>
      </c>
      <c r="AJ427" s="83">
        <v>1</v>
      </c>
      <c r="AK427" s="82">
        <v>0</v>
      </c>
      <c r="AL427" s="83">
        <v>0</v>
      </c>
      <c r="AM427" s="83" t="s">
        <v>2693</v>
      </c>
      <c r="BK427" s="83">
        <v>0</v>
      </c>
      <c r="BL427" s="83">
        <v>0</v>
      </c>
      <c r="BM427" s="83">
        <v>0</v>
      </c>
      <c r="BN427" s="83">
        <v>0</v>
      </c>
      <c r="BO427" s="83">
        <v>0</v>
      </c>
      <c r="BP427" s="83">
        <v>0</v>
      </c>
      <c r="BQ427" s="83">
        <v>0</v>
      </c>
      <c r="BR427" s="83">
        <v>0</v>
      </c>
      <c r="BS427" s="83">
        <v>0</v>
      </c>
      <c r="BT427" s="83">
        <v>0</v>
      </c>
      <c r="BU427" s="83">
        <v>1</v>
      </c>
      <c r="BV427" s="83">
        <v>0</v>
      </c>
      <c r="BW427" s="83">
        <v>0</v>
      </c>
      <c r="BX427" s="83">
        <v>0</v>
      </c>
      <c r="BY427" s="83">
        <v>0</v>
      </c>
      <c r="BZ427" s="83">
        <v>0</v>
      </c>
      <c r="CA427" s="83">
        <v>0</v>
      </c>
      <c r="CB427" s="83">
        <v>0</v>
      </c>
      <c r="CC427" s="83">
        <v>0</v>
      </c>
      <c r="CD427" s="83">
        <v>0</v>
      </c>
      <c r="CF427" s="83" t="s">
        <v>3940</v>
      </c>
      <c r="CG427" s="83" t="s">
        <v>3941</v>
      </c>
      <c r="CK427" s="144">
        <v>0</v>
      </c>
      <c r="CL427"/>
    </row>
    <row r="428" spans="1:90">
      <c r="A428" s="83" t="s">
        <v>3774</v>
      </c>
      <c r="B428" s="83" t="s">
        <v>739</v>
      </c>
      <c r="D428" s="83" t="s">
        <v>688</v>
      </c>
      <c r="E428" s="83" t="s">
        <v>3836</v>
      </c>
      <c r="F428" s="83">
        <v>10868</v>
      </c>
      <c r="G428" s="83" t="s">
        <v>3865</v>
      </c>
      <c r="H428" s="83" t="s">
        <v>1201</v>
      </c>
      <c r="I428" s="83" t="s">
        <v>1202</v>
      </c>
      <c r="J428" s="83" t="s">
        <v>1203</v>
      </c>
      <c r="K428" s="83" t="s">
        <v>565</v>
      </c>
      <c r="L428" s="83" t="s">
        <v>398</v>
      </c>
      <c r="M428" s="83" t="s">
        <v>399</v>
      </c>
      <c r="N428" s="83" t="s">
        <v>3417</v>
      </c>
      <c r="O428" s="83" t="s">
        <v>106</v>
      </c>
      <c r="P428" s="83">
        <v>0</v>
      </c>
      <c r="Q428" s="83" t="s">
        <v>106</v>
      </c>
      <c r="R428" s="83">
        <v>34</v>
      </c>
      <c r="S428" s="87">
        <v>31412</v>
      </c>
      <c r="T428" s="83" t="s">
        <v>2703</v>
      </c>
      <c r="U428" s="83" t="s">
        <v>401</v>
      </c>
      <c r="AC428" s="83" t="s">
        <v>401</v>
      </c>
      <c r="AD428" s="83">
        <v>0</v>
      </c>
      <c r="AF428" s="83">
        <v>35000</v>
      </c>
      <c r="AJ428" s="83">
        <v>1</v>
      </c>
      <c r="AK428" s="82">
        <v>0</v>
      </c>
      <c r="AL428" s="83">
        <v>0</v>
      </c>
      <c r="AM428" s="83" t="s">
        <v>2693</v>
      </c>
      <c r="BK428" s="83">
        <v>0</v>
      </c>
      <c r="BL428" s="83">
        <v>0</v>
      </c>
      <c r="BM428" s="83">
        <v>0</v>
      </c>
      <c r="BN428" s="83">
        <v>0</v>
      </c>
      <c r="BO428" s="83">
        <v>0</v>
      </c>
      <c r="BP428" s="83">
        <v>0</v>
      </c>
      <c r="BQ428" s="83">
        <v>0</v>
      </c>
      <c r="BR428" s="83">
        <v>0</v>
      </c>
      <c r="BS428" s="83">
        <v>0</v>
      </c>
      <c r="BT428" s="83">
        <v>0</v>
      </c>
      <c r="BU428" s="83">
        <v>1</v>
      </c>
      <c r="BV428" s="83">
        <v>0</v>
      </c>
      <c r="BW428" s="83">
        <v>0</v>
      </c>
      <c r="BX428" s="83">
        <v>0</v>
      </c>
      <c r="BY428" s="83">
        <v>0</v>
      </c>
      <c r="BZ428" s="83">
        <v>0</v>
      </c>
      <c r="CA428" s="83">
        <v>0</v>
      </c>
      <c r="CB428" s="83">
        <v>0</v>
      </c>
      <c r="CC428" s="83">
        <v>0</v>
      </c>
      <c r="CD428" s="83">
        <v>0</v>
      </c>
      <c r="CF428" s="83" t="s">
        <v>3942</v>
      </c>
      <c r="CG428" s="83" t="s">
        <v>3943</v>
      </c>
      <c r="CK428" s="144">
        <v>0</v>
      </c>
      <c r="CL428"/>
    </row>
    <row r="429" spans="1:90">
      <c r="A429" s="83" t="s">
        <v>3275</v>
      </c>
      <c r="B429" s="83" t="s">
        <v>993</v>
      </c>
      <c r="D429" s="83" t="s">
        <v>688</v>
      </c>
      <c r="E429" s="83" t="s">
        <v>993</v>
      </c>
      <c r="F429" s="83" t="s">
        <v>3276</v>
      </c>
      <c r="G429" s="83" t="s">
        <v>2324</v>
      </c>
      <c r="H429" s="83" t="s">
        <v>1201</v>
      </c>
      <c r="I429" s="83" t="s">
        <v>1202</v>
      </c>
      <c r="J429" s="83" t="s">
        <v>1203</v>
      </c>
      <c r="K429" s="83" t="s">
        <v>565</v>
      </c>
      <c r="L429" s="83" t="s">
        <v>398</v>
      </c>
      <c r="M429" s="83" t="s">
        <v>399</v>
      </c>
      <c r="N429" s="83" t="s">
        <v>3277</v>
      </c>
      <c r="O429" s="83" t="s">
        <v>106</v>
      </c>
      <c r="P429" s="83">
        <v>4</v>
      </c>
      <c r="Q429" s="83" t="s">
        <v>106</v>
      </c>
      <c r="R429" s="83" t="s">
        <v>2753</v>
      </c>
      <c r="S429" s="83" t="s">
        <v>2803</v>
      </c>
      <c r="T429" s="83" t="s">
        <v>2843</v>
      </c>
      <c r="U429" s="83" t="s">
        <v>401</v>
      </c>
      <c r="AC429" s="83" t="s">
        <v>401</v>
      </c>
      <c r="AD429" s="83">
        <v>753000</v>
      </c>
      <c r="AF429" s="83">
        <v>196000</v>
      </c>
      <c r="AJ429" s="83">
        <v>1</v>
      </c>
      <c r="AK429" s="83">
        <v>1</v>
      </c>
      <c r="AL429" s="83">
        <v>6497</v>
      </c>
      <c r="AM429" s="83" t="s">
        <v>2693</v>
      </c>
      <c r="BK429" s="83" t="s">
        <v>2694</v>
      </c>
      <c r="BL429" s="83" t="s">
        <v>2704</v>
      </c>
      <c r="BM429" s="83" t="s">
        <v>2698</v>
      </c>
      <c r="BN429" s="83" t="s">
        <v>2698</v>
      </c>
      <c r="BO429" s="83" t="s">
        <v>2697</v>
      </c>
      <c r="BP429" s="83" t="s">
        <v>2698</v>
      </c>
      <c r="BQ429" s="83" t="s">
        <v>2699</v>
      </c>
      <c r="BR429" s="83" t="s">
        <v>2693</v>
      </c>
      <c r="BS429" s="83" t="s">
        <v>2699</v>
      </c>
      <c r="BT429" s="83" t="s">
        <v>2696</v>
      </c>
      <c r="BU429" s="83" t="s">
        <v>2699</v>
      </c>
      <c r="BV429" s="83" t="s">
        <v>2696</v>
      </c>
      <c r="BW429" s="83" t="s">
        <v>2698</v>
      </c>
      <c r="BX429" s="83" t="s">
        <v>2696</v>
      </c>
      <c r="BY429" s="83" t="s">
        <v>2699</v>
      </c>
      <c r="BZ429" s="83" t="s">
        <v>2693</v>
      </c>
      <c r="CA429" s="83" t="s">
        <v>2693</v>
      </c>
      <c r="CB429" s="83" t="s">
        <v>2694</v>
      </c>
      <c r="CC429" s="83" t="s">
        <v>2699</v>
      </c>
      <c r="CD429" s="83" t="s">
        <v>2696</v>
      </c>
      <c r="CF429" s="83" t="s">
        <v>3278</v>
      </c>
      <c r="CG429" s="83" t="s">
        <v>3279</v>
      </c>
      <c r="CH429" s="83" t="s">
        <v>2693</v>
      </c>
      <c r="CI429" s="83" t="s">
        <v>3992</v>
      </c>
      <c r="CJ429" s="83" t="s">
        <v>2701</v>
      </c>
      <c r="CK429" s="144">
        <v>0</v>
      </c>
      <c r="CL429" s="99">
        <v>26000</v>
      </c>
    </row>
    <row r="430" spans="1:90">
      <c r="A430" s="83" t="s">
        <v>3393</v>
      </c>
      <c r="B430" s="83" t="s">
        <v>2359</v>
      </c>
      <c r="D430" s="83" t="s">
        <v>688</v>
      </c>
      <c r="E430" s="83" t="s">
        <v>2359</v>
      </c>
      <c r="F430" s="83" t="s">
        <v>3394</v>
      </c>
      <c r="G430" s="83" t="s">
        <v>1164</v>
      </c>
      <c r="H430" s="83" t="s">
        <v>566</v>
      </c>
      <c r="I430" s="83" t="s">
        <v>567</v>
      </c>
      <c r="J430" s="83" t="s">
        <v>564</v>
      </c>
      <c r="K430" s="83" t="s">
        <v>565</v>
      </c>
      <c r="L430" s="83" t="s">
        <v>398</v>
      </c>
      <c r="M430" s="83" t="s">
        <v>399</v>
      </c>
      <c r="N430" s="83" t="s">
        <v>2899</v>
      </c>
      <c r="O430" s="83" t="s">
        <v>106</v>
      </c>
      <c r="P430" s="83">
        <v>4</v>
      </c>
      <c r="Q430" s="83" t="s">
        <v>106</v>
      </c>
      <c r="R430" s="83" t="s">
        <v>2753</v>
      </c>
      <c r="S430" s="83" t="s">
        <v>2991</v>
      </c>
      <c r="T430" s="83" t="s">
        <v>2703</v>
      </c>
      <c r="U430" s="83" t="s">
        <v>401</v>
      </c>
      <c r="AC430" s="83" t="s">
        <v>401</v>
      </c>
      <c r="AD430" s="83">
        <v>905000</v>
      </c>
      <c r="AF430" s="83">
        <v>68000</v>
      </c>
      <c r="AJ430" s="83">
        <v>1</v>
      </c>
      <c r="AK430" s="83">
        <v>1</v>
      </c>
      <c r="AL430" s="83">
        <v>8058</v>
      </c>
      <c r="AM430" s="83" t="s">
        <v>2693</v>
      </c>
      <c r="BK430" s="83" t="s">
        <v>2694</v>
      </c>
      <c r="BL430" s="83" t="s">
        <v>2704</v>
      </c>
      <c r="BM430" s="83" t="s">
        <v>2697</v>
      </c>
      <c r="BN430" s="83" t="s">
        <v>2698</v>
      </c>
      <c r="BO430" s="83" t="s">
        <v>2697</v>
      </c>
      <c r="BP430" s="83" t="s">
        <v>2695</v>
      </c>
      <c r="BQ430" s="83" t="s">
        <v>2699</v>
      </c>
      <c r="BR430" s="83" t="s">
        <v>2693</v>
      </c>
      <c r="BS430" s="83" t="s">
        <v>2699</v>
      </c>
      <c r="BT430" s="83" t="s">
        <v>2696</v>
      </c>
      <c r="BU430" s="83" t="s">
        <v>2699</v>
      </c>
      <c r="BV430" s="83" t="s">
        <v>2697</v>
      </c>
      <c r="BW430" s="83" t="s">
        <v>2698</v>
      </c>
      <c r="BX430" s="83" t="s">
        <v>2696</v>
      </c>
      <c r="BY430" s="83" t="s">
        <v>2699</v>
      </c>
      <c r="BZ430" s="83" t="s">
        <v>2699</v>
      </c>
      <c r="CA430" s="83" t="s">
        <v>2693</v>
      </c>
      <c r="CB430" s="83" t="s">
        <v>2694</v>
      </c>
      <c r="CC430" s="83" t="s">
        <v>2699</v>
      </c>
      <c r="CD430" s="83" t="s">
        <v>2696</v>
      </c>
      <c r="CF430" s="83" t="s">
        <v>616</v>
      </c>
      <c r="CG430" s="83" t="s">
        <v>617</v>
      </c>
      <c r="CH430" s="83" t="s">
        <v>2693</v>
      </c>
      <c r="CI430" s="83" t="s">
        <v>3992</v>
      </c>
      <c r="CJ430" s="83" t="s">
        <v>2701</v>
      </c>
      <c r="CK430" s="144">
        <v>0</v>
      </c>
      <c r="CL430" s="99">
        <v>11000</v>
      </c>
    </row>
    <row r="431" spans="1:90">
      <c r="A431" s="83" t="s">
        <v>3226</v>
      </c>
      <c r="B431" s="83" t="s">
        <v>986</v>
      </c>
      <c r="D431" s="83" t="s">
        <v>688</v>
      </c>
      <c r="E431" s="83" t="s">
        <v>986</v>
      </c>
      <c r="F431" s="83" t="s">
        <v>3227</v>
      </c>
      <c r="G431" s="83" t="s">
        <v>2316</v>
      </c>
      <c r="H431" s="83" t="s">
        <v>1201</v>
      </c>
      <c r="I431" s="83" t="s">
        <v>1202</v>
      </c>
      <c r="J431" s="83" t="s">
        <v>1203</v>
      </c>
      <c r="K431" s="83" t="s">
        <v>565</v>
      </c>
      <c r="L431" s="83" t="s">
        <v>398</v>
      </c>
      <c r="M431" s="83" t="s">
        <v>399</v>
      </c>
      <c r="N431" s="83" t="s">
        <v>3228</v>
      </c>
      <c r="O431" s="83" t="s">
        <v>106</v>
      </c>
      <c r="P431" s="83">
        <v>4</v>
      </c>
      <c r="Q431" s="83" t="s">
        <v>106</v>
      </c>
      <c r="R431" s="83" t="s">
        <v>2753</v>
      </c>
      <c r="S431" s="83" t="s">
        <v>2991</v>
      </c>
      <c r="T431" s="83" t="s">
        <v>2843</v>
      </c>
      <c r="U431" s="83" t="s">
        <v>401</v>
      </c>
      <c r="AC431" s="83" t="s">
        <v>401</v>
      </c>
      <c r="AD431" s="83">
        <v>763000</v>
      </c>
      <c r="AF431" s="83">
        <v>200000</v>
      </c>
      <c r="AJ431" s="83">
        <v>1</v>
      </c>
      <c r="AK431" s="83">
        <v>1</v>
      </c>
      <c r="AL431" s="83">
        <v>6624</v>
      </c>
      <c r="AM431" s="83" t="s">
        <v>2693</v>
      </c>
      <c r="BK431" s="83" t="s">
        <v>2694</v>
      </c>
      <c r="BL431" s="83" t="s">
        <v>2704</v>
      </c>
      <c r="BM431" s="83" t="s">
        <v>2697</v>
      </c>
      <c r="BN431" s="83" t="s">
        <v>2698</v>
      </c>
      <c r="BO431" s="83" t="s">
        <v>2697</v>
      </c>
      <c r="BP431" s="83" t="s">
        <v>2698</v>
      </c>
      <c r="BQ431" s="83" t="s">
        <v>2699</v>
      </c>
      <c r="BR431" s="83" t="s">
        <v>2693</v>
      </c>
      <c r="BS431" s="83">
        <v>1</v>
      </c>
      <c r="BT431" s="83" t="s">
        <v>2696</v>
      </c>
      <c r="BU431" s="83" t="s">
        <v>2699</v>
      </c>
      <c r="BV431" s="83">
        <v>0</v>
      </c>
      <c r="BW431" s="83" t="s">
        <v>2698</v>
      </c>
      <c r="BX431" s="83">
        <v>0</v>
      </c>
      <c r="BY431" s="83">
        <v>1</v>
      </c>
      <c r="BZ431" s="83" t="s">
        <v>2693</v>
      </c>
      <c r="CA431" s="83" t="s">
        <v>2693</v>
      </c>
      <c r="CB431" s="83">
        <v>8</v>
      </c>
      <c r="CC431" s="83">
        <v>1</v>
      </c>
      <c r="CD431" s="83" t="s">
        <v>2696</v>
      </c>
      <c r="CF431" s="83" t="s">
        <v>3229</v>
      </c>
      <c r="CG431" s="83" t="s">
        <v>3230</v>
      </c>
      <c r="CH431" s="83" t="s">
        <v>2693</v>
      </c>
      <c r="CI431" s="83" t="s">
        <v>3992</v>
      </c>
      <c r="CJ431" s="83" t="s">
        <v>2701</v>
      </c>
      <c r="CK431" s="144">
        <v>0</v>
      </c>
      <c r="CL431" s="99">
        <v>53000</v>
      </c>
    </row>
    <row r="432" spans="1:90">
      <c r="A432" s="83" t="s">
        <v>3507</v>
      </c>
      <c r="B432" s="83" t="s">
        <v>983</v>
      </c>
      <c r="D432" s="83" t="s">
        <v>688</v>
      </c>
      <c r="E432" s="83" t="s">
        <v>983</v>
      </c>
      <c r="F432" s="83" t="s">
        <v>3508</v>
      </c>
      <c r="G432" s="83" t="s">
        <v>1188</v>
      </c>
      <c r="H432" s="83" t="s">
        <v>1201</v>
      </c>
      <c r="I432" s="83" t="s">
        <v>1202</v>
      </c>
      <c r="J432" s="83" t="s">
        <v>1203</v>
      </c>
      <c r="K432" s="83" t="s">
        <v>565</v>
      </c>
      <c r="L432" s="83" t="s">
        <v>398</v>
      </c>
      <c r="M432" s="83" t="s">
        <v>399</v>
      </c>
      <c r="N432" s="83" t="s">
        <v>3228</v>
      </c>
      <c r="O432" s="83" t="s">
        <v>106</v>
      </c>
      <c r="P432" s="83">
        <v>9</v>
      </c>
      <c r="Q432" s="83" t="s">
        <v>106</v>
      </c>
      <c r="R432" s="83" t="s">
        <v>2753</v>
      </c>
      <c r="S432" s="83" t="s">
        <v>2716</v>
      </c>
      <c r="T432" s="83" t="s">
        <v>2703</v>
      </c>
      <c r="U432" s="83" t="s">
        <v>401</v>
      </c>
      <c r="AC432" s="83" t="s">
        <v>401</v>
      </c>
      <c r="AD432" s="83">
        <v>1570000</v>
      </c>
      <c r="AF432" s="83">
        <v>87000</v>
      </c>
      <c r="AJ432" s="83">
        <v>1</v>
      </c>
      <c r="AK432" s="83">
        <v>2</v>
      </c>
      <c r="AL432" s="83">
        <v>10420</v>
      </c>
      <c r="AM432" s="83" t="s">
        <v>2693</v>
      </c>
      <c r="BK432" s="83" t="s">
        <v>2694</v>
      </c>
      <c r="BL432" s="83" t="s">
        <v>2693</v>
      </c>
      <c r="BM432" s="83" t="s">
        <v>2698</v>
      </c>
      <c r="BN432" s="83" t="s">
        <v>2698</v>
      </c>
      <c r="BO432" s="83" t="s">
        <v>2693</v>
      </c>
      <c r="BP432" s="83" t="s">
        <v>2697</v>
      </c>
      <c r="BQ432" s="83" t="s">
        <v>2699</v>
      </c>
      <c r="BR432" s="83" t="s">
        <v>2693</v>
      </c>
      <c r="BS432" s="83" t="s">
        <v>2699</v>
      </c>
      <c r="BT432" s="83" t="s">
        <v>2696</v>
      </c>
      <c r="BU432" s="83" t="s">
        <v>2699</v>
      </c>
      <c r="BV432" s="83" t="s">
        <v>2697</v>
      </c>
      <c r="BW432" s="83" t="s">
        <v>2693</v>
      </c>
      <c r="BX432" s="83" t="s">
        <v>2696</v>
      </c>
      <c r="BY432" s="83" t="s">
        <v>2699</v>
      </c>
      <c r="BZ432" s="83" t="s">
        <v>2699</v>
      </c>
      <c r="CA432" s="83" t="s">
        <v>2693</v>
      </c>
      <c r="CB432" s="83" t="s">
        <v>2694</v>
      </c>
      <c r="CC432" s="83" t="s">
        <v>2699</v>
      </c>
      <c r="CD432" s="83" t="s">
        <v>2699</v>
      </c>
      <c r="CF432" s="83" t="s">
        <v>984</v>
      </c>
      <c r="CG432" s="83" t="s">
        <v>985</v>
      </c>
      <c r="CH432" s="83" t="s">
        <v>2697</v>
      </c>
      <c r="CI432" s="83" t="s">
        <v>648</v>
      </c>
      <c r="CJ432" s="83" t="s">
        <v>2757</v>
      </c>
      <c r="CK432" s="144">
        <v>1</v>
      </c>
      <c r="CL432" s="99">
        <v>23000</v>
      </c>
    </row>
    <row r="433" spans="1:90">
      <c r="A433" s="83" t="s">
        <v>2865</v>
      </c>
      <c r="B433" s="83" t="s">
        <v>793</v>
      </c>
      <c r="D433" s="83" t="s">
        <v>688</v>
      </c>
      <c r="E433" s="83" t="s">
        <v>793</v>
      </c>
      <c r="F433" s="83" t="s">
        <v>3509</v>
      </c>
      <c r="G433" s="83" t="s">
        <v>1189</v>
      </c>
      <c r="H433" s="83" t="s">
        <v>1201</v>
      </c>
      <c r="I433" s="83" t="s">
        <v>1202</v>
      </c>
      <c r="J433" s="83" t="s">
        <v>1203</v>
      </c>
      <c r="K433" s="83" t="s">
        <v>565</v>
      </c>
      <c r="L433" s="83" t="s">
        <v>398</v>
      </c>
      <c r="M433" s="83" t="s">
        <v>399</v>
      </c>
      <c r="N433" s="83" t="s">
        <v>3057</v>
      </c>
      <c r="O433" s="83" t="s">
        <v>106</v>
      </c>
      <c r="P433" s="83">
        <v>4</v>
      </c>
      <c r="Q433" s="83" t="s">
        <v>106</v>
      </c>
      <c r="R433" s="83" t="s">
        <v>2799</v>
      </c>
      <c r="S433" s="83" t="s">
        <v>2702</v>
      </c>
      <c r="T433" s="83" t="s">
        <v>2703</v>
      </c>
      <c r="U433" s="83" t="s">
        <v>401</v>
      </c>
      <c r="AC433" s="83" t="s">
        <v>401</v>
      </c>
      <c r="AD433" s="83">
        <v>147000</v>
      </c>
      <c r="AF433" s="83">
        <v>0</v>
      </c>
      <c r="AJ433" s="83">
        <v>1</v>
      </c>
      <c r="AK433" s="83">
        <v>1</v>
      </c>
      <c r="AL433" s="83">
        <v>1598</v>
      </c>
      <c r="AM433" s="83" t="s">
        <v>2693</v>
      </c>
      <c r="BK433" s="83" t="s">
        <v>2694</v>
      </c>
      <c r="BL433" s="83" t="s">
        <v>2704</v>
      </c>
      <c r="BM433" s="83" t="s">
        <v>2698</v>
      </c>
      <c r="BN433" s="83" t="s">
        <v>2698</v>
      </c>
      <c r="BO433" s="83" t="s">
        <v>2697</v>
      </c>
      <c r="BP433" s="83" t="s">
        <v>2695</v>
      </c>
      <c r="BQ433" s="83" t="s">
        <v>2699</v>
      </c>
      <c r="BR433" s="83" t="s">
        <v>2693</v>
      </c>
      <c r="BS433" s="83" t="s">
        <v>2699</v>
      </c>
      <c r="BT433" s="83" t="s">
        <v>2696</v>
      </c>
      <c r="BU433" s="83" t="s">
        <v>2699</v>
      </c>
      <c r="BV433" s="83" t="s">
        <v>2697</v>
      </c>
      <c r="BW433" s="83" t="s">
        <v>2698</v>
      </c>
      <c r="BX433" s="83" t="s">
        <v>2696</v>
      </c>
      <c r="BY433" s="83" t="s">
        <v>2699</v>
      </c>
      <c r="BZ433" s="83" t="s">
        <v>2699</v>
      </c>
      <c r="CA433" s="83" t="s">
        <v>2693</v>
      </c>
      <c r="CB433" s="83">
        <v>9</v>
      </c>
      <c r="CC433" s="83" t="s">
        <v>2696</v>
      </c>
      <c r="CD433" s="83" t="s">
        <v>2696</v>
      </c>
      <c r="CF433" s="83" t="s">
        <v>794</v>
      </c>
      <c r="CG433" s="83" t="s">
        <v>795</v>
      </c>
      <c r="CH433" s="83" t="s">
        <v>2693</v>
      </c>
      <c r="CI433" s="83" t="s">
        <v>3992</v>
      </c>
      <c r="CJ433" s="83" t="s">
        <v>2701</v>
      </c>
      <c r="CK433" s="144">
        <v>0</v>
      </c>
      <c r="CL433"/>
    </row>
    <row r="434" spans="1:90">
      <c r="A434" s="83" t="s">
        <v>1576</v>
      </c>
      <c r="B434" s="83" t="s">
        <v>1650</v>
      </c>
      <c r="D434" s="83" t="s">
        <v>688</v>
      </c>
      <c r="E434" s="83" t="s">
        <v>2732</v>
      </c>
      <c r="F434" s="83" t="s">
        <v>1223</v>
      </c>
      <c r="G434" s="83" t="s">
        <v>1881</v>
      </c>
      <c r="H434" s="83" t="s">
        <v>1201</v>
      </c>
      <c r="I434" s="83" t="s">
        <v>1202</v>
      </c>
      <c r="J434" s="83" t="s">
        <v>1203</v>
      </c>
      <c r="K434" s="83" t="s">
        <v>565</v>
      </c>
      <c r="L434" s="83" t="s">
        <v>398</v>
      </c>
      <c r="M434" s="83" t="s">
        <v>399</v>
      </c>
      <c r="N434" s="83" t="s">
        <v>2709</v>
      </c>
      <c r="O434" s="83" t="s">
        <v>106</v>
      </c>
      <c r="P434" s="83">
        <v>4</v>
      </c>
      <c r="Q434" s="83" t="s">
        <v>106</v>
      </c>
      <c r="R434" s="83" t="s">
        <v>2727</v>
      </c>
      <c r="S434" s="83" t="s">
        <v>1468</v>
      </c>
      <c r="T434" s="83" t="s">
        <v>2703</v>
      </c>
      <c r="U434" s="83" t="s">
        <v>401</v>
      </c>
      <c r="AC434" s="83" t="s">
        <v>401</v>
      </c>
      <c r="AD434" s="83">
        <v>361000</v>
      </c>
      <c r="AF434" s="83">
        <v>7000</v>
      </c>
      <c r="AJ434" s="83">
        <v>1</v>
      </c>
      <c r="AK434" s="83">
        <v>1</v>
      </c>
      <c r="AL434" s="83">
        <v>2170</v>
      </c>
      <c r="AM434" s="83" t="s">
        <v>2693</v>
      </c>
      <c r="BK434" s="83" t="s">
        <v>2694</v>
      </c>
      <c r="BL434" s="83" t="s">
        <v>2699</v>
      </c>
      <c r="BM434" s="83" t="s">
        <v>2698</v>
      </c>
      <c r="BN434" s="83" t="s">
        <v>2699</v>
      </c>
      <c r="BO434" s="83" t="s">
        <v>2693</v>
      </c>
      <c r="BP434" s="83" t="s">
        <v>2697</v>
      </c>
      <c r="BQ434" s="83" t="s">
        <v>2693</v>
      </c>
      <c r="BR434" s="83" t="s">
        <v>2693</v>
      </c>
      <c r="BS434" s="83" t="s">
        <v>2699</v>
      </c>
      <c r="BT434" s="83">
        <v>0</v>
      </c>
      <c r="BU434" s="83" t="s">
        <v>2699</v>
      </c>
      <c r="BV434" s="83" t="s">
        <v>2696</v>
      </c>
      <c r="BW434" s="83" t="s">
        <v>2699</v>
      </c>
      <c r="BX434" s="83" t="s">
        <v>2696</v>
      </c>
      <c r="BY434" s="83" t="s">
        <v>2699</v>
      </c>
      <c r="BZ434" s="83" t="s">
        <v>2699</v>
      </c>
      <c r="CA434" s="83" t="s">
        <v>2693</v>
      </c>
      <c r="CB434" s="83">
        <v>9</v>
      </c>
      <c r="CC434" s="83" t="s">
        <v>2699</v>
      </c>
      <c r="CD434" s="83" t="s">
        <v>2696</v>
      </c>
      <c r="CF434" s="83" t="s">
        <v>2108</v>
      </c>
      <c r="CG434" s="83" t="s">
        <v>2109</v>
      </c>
      <c r="CH434" s="83" t="s">
        <v>2693</v>
      </c>
      <c r="CI434" s="83" t="s">
        <v>3992</v>
      </c>
      <c r="CJ434" s="83" t="s">
        <v>2701</v>
      </c>
      <c r="CK434" s="144">
        <v>0</v>
      </c>
      <c r="CL434" s="99">
        <v>138000</v>
      </c>
    </row>
    <row r="435" spans="1:90">
      <c r="A435" s="83" t="s">
        <v>1576</v>
      </c>
      <c r="B435" s="83" t="s">
        <v>1650</v>
      </c>
      <c r="D435" s="83" t="s">
        <v>673</v>
      </c>
      <c r="E435" s="83" t="s">
        <v>2733</v>
      </c>
      <c r="F435" s="83" t="s">
        <v>1223</v>
      </c>
      <c r="G435" s="83" t="s">
        <v>1881</v>
      </c>
      <c r="H435" s="83" t="s">
        <v>1201</v>
      </c>
      <c r="I435" s="83" t="s">
        <v>1202</v>
      </c>
      <c r="J435" s="83" t="s">
        <v>1203</v>
      </c>
      <c r="K435" s="83" t="s">
        <v>565</v>
      </c>
      <c r="L435" s="83" t="s">
        <v>398</v>
      </c>
      <c r="M435" s="83" t="s">
        <v>399</v>
      </c>
      <c r="N435" s="83" t="s">
        <v>2709</v>
      </c>
      <c r="O435" s="83" t="s">
        <v>106</v>
      </c>
      <c r="P435" s="83">
        <v>1</v>
      </c>
      <c r="Q435" s="83" t="s">
        <v>106</v>
      </c>
      <c r="R435" s="83" t="s">
        <v>2727</v>
      </c>
      <c r="S435" s="83" t="s">
        <v>1468</v>
      </c>
      <c r="T435" s="83" t="s">
        <v>2703</v>
      </c>
      <c r="U435" s="83" t="s">
        <v>401</v>
      </c>
      <c r="AC435" s="83" t="s">
        <v>401</v>
      </c>
      <c r="AD435" s="83">
        <v>57000</v>
      </c>
      <c r="AF435" s="83">
        <v>0</v>
      </c>
      <c r="AJ435" s="83">
        <v>1</v>
      </c>
      <c r="AK435" s="83">
        <v>2</v>
      </c>
      <c r="AL435" s="83">
        <v>1024</v>
      </c>
      <c r="AM435" s="83" t="s">
        <v>2693</v>
      </c>
      <c r="BK435" s="83" t="s">
        <v>2694</v>
      </c>
      <c r="BL435" s="83" t="s">
        <v>2695</v>
      </c>
      <c r="BM435" s="83" t="s">
        <v>2693</v>
      </c>
      <c r="BN435" s="83" t="s">
        <v>2696</v>
      </c>
      <c r="BO435" s="83" t="s">
        <v>2693</v>
      </c>
      <c r="BP435" s="83" t="s">
        <v>2698</v>
      </c>
      <c r="BQ435" s="83" t="s">
        <v>2693</v>
      </c>
      <c r="BR435" s="83" t="s">
        <v>2693</v>
      </c>
      <c r="BS435" s="83" t="s">
        <v>2699</v>
      </c>
      <c r="BT435" s="83">
        <v>0</v>
      </c>
      <c r="BU435" s="83" t="s">
        <v>2699</v>
      </c>
      <c r="BV435" s="83" t="s">
        <v>2696</v>
      </c>
      <c r="BW435" s="83" t="s">
        <v>2697</v>
      </c>
      <c r="BX435" s="83" t="s">
        <v>2696</v>
      </c>
      <c r="BY435" s="83" t="s">
        <v>2699</v>
      </c>
      <c r="BZ435" s="83" t="s">
        <v>2699</v>
      </c>
      <c r="CA435" s="83" t="s">
        <v>2693</v>
      </c>
      <c r="CB435" s="83">
        <v>9</v>
      </c>
      <c r="CC435" s="83" t="s">
        <v>2699</v>
      </c>
      <c r="CD435" s="83" t="s">
        <v>2696</v>
      </c>
      <c r="CF435" s="83" t="s">
        <v>2110</v>
      </c>
      <c r="CG435" s="83" t="s">
        <v>2109</v>
      </c>
      <c r="CH435" s="83" t="s">
        <v>2699</v>
      </c>
      <c r="CI435" s="83">
        <v>1</v>
      </c>
      <c r="CJ435" s="83" t="s">
        <v>2734</v>
      </c>
      <c r="CK435" s="144">
        <v>0</v>
      </c>
      <c r="CL435"/>
    </row>
    <row r="436" spans="1:90">
      <c r="A436" s="83" t="s">
        <v>3288</v>
      </c>
      <c r="B436" s="83" t="s">
        <v>995</v>
      </c>
      <c r="D436" s="83" t="s">
        <v>688</v>
      </c>
      <c r="E436" s="83" t="s">
        <v>2548</v>
      </c>
      <c r="F436" s="83" t="s">
        <v>3289</v>
      </c>
      <c r="G436" s="83" t="s">
        <v>2327</v>
      </c>
      <c r="H436" s="83" t="s">
        <v>1201</v>
      </c>
      <c r="I436" s="83" t="s">
        <v>1202</v>
      </c>
      <c r="J436" s="83" t="s">
        <v>1203</v>
      </c>
      <c r="K436" s="83" t="s">
        <v>565</v>
      </c>
      <c r="L436" s="83" t="s">
        <v>398</v>
      </c>
      <c r="M436" s="83" t="s">
        <v>399</v>
      </c>
      <c r="N436" s="83" t="s">
        <v>3277</v>
      </c>
      <c r="O436" s="83" t="s">
        <v>106</v>
      </c>
      <c r="P436" s="83">
        <v>1</v>
      </c>
      <c r="Q436" s="83" t="s">
        <v>106</v>
      </c>
      <c r="R436" s="83" t="s">
        <v>2727</v>
      </c>
      <c r="S436" s="83" t="s">
        <v>2779</v>
      </c>
      <c r="T436" s="83" t="s">
        <v>2843</v>
      </c>
      <c r="U436" s="83" t="s">
        <v>401</v>
      </c>
      <c r="AC436" s="83" t="s">
        <v>401</v>
      </c>
      <c r="AD436" s="83">
        <v>58000</v>
      </c>
      <c r="AF436" s="83">
        <v>4000</v>
      </c>
      <c r="AJ436" s="83">
        <v>1</v>
      </c>
      <c r="AK436" s="83">
        <v>1</v>
      </c>
      <c r="AL436" s="83">
        <v>540</v>
      </c>
      <c r="AM436" s="83" t="s">
        <v>2693</v>
      </c>
      <c r="BK436" s="83" t="s">
        <v>2694</v>
      </c>
      <c r="BL436" s="83" t="s">
        <v>2704</v>
      </c>
      <c r="BM436" s="83" t="s">
        <v>2698</v>
      </c>
      <c r="BN436" s="83" t="s">
        <v>2698</v>
      </c>
      <c r="BO436" s="83" t="s">
        <v>2697</v>
      </c>
      <c r="BP436" s="83" t="s">
        <v>2698</v>
      </c>
      <c r="BQ436" s="83" t="s">
        <v>2699</v>
      </c>
      <c r="BR436" s="83" t="s">
        <v>2693</v>
      </c>
      <c r="BS436" s="83" t="s">
        <v>2699</v>
      </c>
      <c r="BT436" s="83" t="s">
        <v>2696</v>
      </c>
      <c r="BU436" s="83" t="s">
        <v>2699</v>
      </c>
      <c r="BV436" s="83" t="s">
        <v>2696</v>
      </c>
      <c r="BW436" s="83" t="s">
        <v>2698</v>
      </c>
      <c r="BX436" s="83" t="s">
        <v>2696</v>
      </c>
      <c r="BY436" s="83" t="s">
        <v>2699</v>
      </c>
      <c r="BZ436" s="83" t="s">
        <v>2693</v>
      </c>
      <c r="CA436" s="83" t="s">
        <v>2693</v>
      </c>
      <c r="CB436" s="83">
        <v>9</v>
      </c>
      <c r="CC436" s="83" t="s">
        <v>2699</v>
      </c>
      <c r="CD436" s="83" t="s">
        <v>2696</v>
      </c>
      <c r="CF436" s="83" t="s">
        <v>3290</v>
      </c>
      <c r="CG436" s="83" t="s">
        <v>3291</v>
      </c>
      <c r="CH436" s="83" t="s">
        <v>2699</v>
      </c>
      <c r="CI436" s="83" t="s">
        <v>2693</v>
      </c>
      <c r="CJ436" s="83" t="s">
        <v>2734</v>
      </c>
      <c r="CK436" s="144">
        <v>0</v>
      </c>
      <c r="CL436" s="99">
        <v>452000</v>
      </c>
    </row>
    <row r="437" spans="1:90">
      <c r="A437" s="83" t="s">
        <v>3288</v>
      </c>
      <c r="B437" s="83" t="s">
        <v>995</v>
      </c>
      <c r="D437" s="83" t="s">
        <v>673</v>
      </c>
      <c r="E437" s="83" t="s">
        <v>2635</v>
      </c>
      <c r="F437" s="83" t="s">
        <v>3289</v>
      </c>
      <c r="G437" s="83" t="s">
        <v>2327</v>
      </c>
      <c r="H437" s="83" t="s">
        <v>1201</v>
      </c>
      <c r="I437" s="83" t="s">
        <v>1202</v>
      </c>
      <c r="J437" s="83" t="s">
        <v>1203</v>
      </c>
      <c r="K437" s="83" t="s">
        <v>565</v>
      </c>
      <c r="L437" s="83" t="s">
        <v>398</v>
      </c>
      <c r="M437" s="83" t="s">
        <v>399</v>
      </c>
      <c r="N437" s="83" t="s">
        <v>3277</v>
      </c>
      <c r="O437" s="83" t="s">
        <v>106</v>
      </c>
      <c r="P437" s="83">
        <v>4</v>
      </c>
      <c r="Q437" s="83" t="s">
        <v>106</v>
      </c>
      <c r="R437" s="83" t="s">
        <v>2727</v>
      </c>
      <c r="S437" s="83" t="s">
        <v>1456</v>
      </c>
      <c r="T437" s="83" t="s">
        <v>2843</v>
      </c>
      <c r="U437" s="83" t="s">
        <v>401</v>
      </c>
      <c r="AC437" s="83" t="s">
        <v>401</v>
      </c>
      <c r="AD437" s="83">
        <v>49000</v>
      </c>
      <c r="AF437" s="83">
        <v>21000</v>
      </c>
      <c r="AJ437" s="83">
        <v>1</v>
      </c>
      <c r="AK437" s="83">
        <v>2</v>
      </c>
      <c r="AL437" s="83">
        <v>800</v>
      </c>
      <c r="AM437" s="83" t="s">
        <v>2693</v>
      </c>
      <c r="BK437" s="83" t="s">
        <v>2694</v>
      </c>
      <c r="BL437" s="83" t="s">
        <v>2697</v>
      </c>
      <c r="BM437" s="83" t="s">
        <v>2697</v>
      </c>
      <c r="BN437" s="83" t="s">
        <v>2696</v>
      </c>
      <c r="BO437" s="83" t="s">
        <v>2697</v>
      </c>
      <c r="BP437" s="83" t="s">
        <v>2698</v>
      </c>
      <c r="BQ437" s="83" t="s">
        <v>2699</v>
      </c>
      <c r="BR437" s="83" t="s">
        <v>2693</v>
      </c>
      <c r="BS437" s="83" t="s">
        <v>2699</v>
      </c>
      <c r="BT437" s="83" t="s">
        <v>2696</v>
      </c>
      <c r="BU437" s="83" t="s">
        <v>2699</v>
      </c>
      <c r="BV437" s="83" t="s">
        <v>2696</v>
      </c>
      <c r="BW437" s="83" t="s">
        <v>2697</v>
      </c>
      <c r="BX437" s="83" t="s">
        <v>2696</v>
      </c>
      <c r="BY437" s="83" t="s">
        <v>2699</v>
      </c>
      <c r="BZ437" s="83" t="s">
        <v>2693</v>
      </c>
      <c r="CA437" s="83" t="s">
        <v>2693</v>
      </c>
      <c r="CB437" s="83">
        <v>9</v>
      </c>
      <c r="CC437" s="83" t="s">
        <v>2699</v>
      </c>
      <c r="CD437" s="83" t="s">
        <v>2696</v>
      </c>
      <c r="CF437" s="83" t="s">
        <v>3292</v>
      </c>
      <c r="CG437" s="83" t="s">
        <v>3293</v>
      </c>
      <c r="CH437" s="83" t="s">
        <v>2693</v>
      </c>
      <c r="CI437" s="83" t="s">
        <v>3992</v>
      </c>
      <c r="CJ437" s="83" t="s">
        <v>2701</v>
      </c>
      <c r="CK437" s="144">
        <v>0</v>
      </c>
      <c r="CL437"/>
    </row>
    <row r="438" spans="1:90">
      <c r="A438" s="83" t="s">
        <v>3023</v>
      </c>
      <c r="B438" s="83" t="s">
        <v>3024</v>
      </c>
      <c r="D438" s="83" t="s">
        <v>688</v>
      </c>
      <c r="E438" s="83" t="s">
        <v>1007</v>
      </c>
      <c r="F438" s="83" t="s">
        <v>3025</v>
      </c>
      <c r="G438" s="83" t="s">
        <v>2288</v>
      </c>
      <c r="H438" s="83" t="s">
        <v>1201</v>
      </c>
      <c r="I438" s="83" t="s">
        <v>1202</v>
      </c>
      <c r="J438" s="83" t="s">
        <v>1203</v>
      </c>
      <c r="K438" s="83" t="s">
        <v>565</v>
      </c>
      <c r="L438" s="83" t="s">
        <v>398</v>
      </c>
      <c r="M438" s="83" t="s">
        <v>399</v>
      </c>
      <c r="N438" s="83" t="s">
        <v>3001</v>
      </c>
      <c r="O438" s="83" t="s">
        <v>106</v>
      </c>
      <c r="P438" s="83">
        <v>4</v>
      </c>
      <c r="Q438" s="83" t="s">
        <v>106</v>
      </c>
      <c r="R438" s="83" t="s">
        <v>2727</v>
      </c>
      <c r="S438" s="83" t="s">
        <v>2843</v>
      </c>
      <c r="T438" s="83" t="s">
        <v>2843</v>
      </c>
      <c r="U438" s="83" t="s">
        <v>401</v>
      </c>
      <c r="AC438" s="83" t="s">
        <v>401</v>
      </c>
      <c r="AD438" s="83">
        <v>30000</v>
      </c>
      <c r="AF438" s="83">
        <v>0</v>
      </c>
      <c r="AJ438" s="83">
        <v>1</v>
      </c>
      <c r="AK438" s="83">
        <v>1</v>
      </c>
      <c r="AL438" s="83">
        <v>237</v>
      </c>
      <c r="AM438" s="83" t="s">
        <v>2693</v>
      </c>
      <c r="BK438" s="83" t="s">
        <v>2694</v>
      </c>
      <c r="BL438" s="83" t="s">
        <v>2698</v>
      </c>
      <c r="BM438" s="83" t="s">
        <v>2698</v>
      </c>
      <c r="BN438" s="83" t="s">
        <v>2698</v>
      </c>
      <c r="BO438" s="83" t="s">
        <v>2697</v>
      </c>
      <c r="BP438" s="83" t="s">
        <v>2698</v>
      </c>
      <c r="BQ438" s="83" t="s">
        <v>2699</v>
      </c>
      <c r="BR438" s="83" t="s">
        <v>2693</v>
      </c>
      <c r="BS438" s="83" t="s">
        <v>2699</v>
      </c>
      <c r="BT438" s="83" t="s">
        <v>2696</v>
      </c>
      <c r="BU438" s="83" t="s">
        <v>2699</v>
      </c>
      <c r="BV438" s="83" t="s">
        <v>2696</v>
      </c>
      <c r="BW438" s="83" t="s">
        <v>2698</v>
      </c>
      <c r="BX438" s="83" t="s">
        <v>2696</v>
      </c>
      <c r="BY438" s="83" t="s">
        <v>2699</v>
      </c>
      <c r="BZ438" s="83" t="s">
        <v>2693</v>
      </c>
      <c r="CA438" s="83" t="s">
        <v>2693</v>
      </c>
      <c r="CB438" s="83" t="s">
        <v>2694</v>
      </c>
      <c r="CC438" s="83" t="s">
        <v>2699</v>
      </c>
      <c r="CD438" s="83" t="s">
        <v>2696</v>
      </c>
      <c r="CF438" s="83" t="s">
        <v>3026</v>
      </c>
      <c r="CG438" s="83" t="s">
        <v>3027</v>
      </c>
      <c r="CH438" s="83" t="s">
        <v>2693</v>
      </c>
      <c r="CI438" s="83" t="s">
        <v>3992</v>
      </c>
      <c r="CJ438" s="83" t="s">
        <v>2701</v>
      </c>
      <c r="CK438" s="144">
        <v>0</v>
      </c>
      <c r="CL438" s="99">
        <v>26000</v>
      </c>
    </row>
    <row r="439" spans="1:90">
      <c r="A439" s="83" t="s">
        <v>3330</v>
      </c>
      <c r="B439" s="83" t="s">
        <v>1000</v>
      </c>
      <c r="D439" s="83" t="s">
        <v>688</v>
      </c>
      <c r="E439" s="83" t="s">
        <v>2550</v>
      </c>
      <c r="F439" s="83" t="s">
        <v>3331</v>
      </c>
      <c r="G439" s="83" t="s">
        <v>2333</v>
      </c>
      <c r="H439" s="83" t="s">
        <v>1201</v>
      </c>
      <c r="I439" s="83" t="s">
        <v>1202</v>
      </c>
      <c r="J439" s="83" t="s">
        <v>1203</v>
      </c>
      <c r="K439" s="83" t="s">
        <v>565</v>
      </c>
      <c r="L439" s="83" t="s">
        <v>398</v>
      </c>
      <c r="M439" s="83" t="s">
        <v>399</v>
      </c>
      <c r="N439" s="83" t="s">
        <v>3327</v>
      </c>
      <c r="O439" s="83" t="s">
        <v>106</v>
      </c>
      <c r="P439" s="83">
        <v>4</v>
      </c>
      <c r="Q439" s="83" t="s">
        <v>106</v>
      </c>
      <c r="R439" s="83" t="s">
        <v>2727</v>
      </c>
      <c r="S439" s="83" t="s">
        <v>3218</v>
      </c>
      <c r="T439" s="83" t="s">
        <v>2843</v>
      </c>
      <c r="U439" s="83" t="s">
        <v>401</v>
      </c>
      <c r="AC439" s="83" t="s">
        <v>401</v>
      </c>
      <c r="AD439" s="83">
        <v>187000</v>
      </c>
      <c r="AF439" s="83">
        <v>22000</v>
      </c>
      <c r="AJ439" s="83">
        <v>1</v>
      </c>
      <c r="AK439" s="83">
        <v>1</v>
      </c>
      <c r="AL439" s="83">
        <v>2200</v>
      </c>
      <c r="AM439" s="83" t="s">
        <v>2693</v>
      </c>
      <c r="BK439" s="83" t="s">
        <v>2694</v>
      </c>
      <c r="BL439" s="83" t="s">
        <v>2704</v>
      </c>
      <c r="BM439" s="83" t="s">
        <v>2698</v>
      </c>
      <c r="BN439" s="83" t="s">
        <v>2698</v>
      </c>
      <c r="BO439" s="83" t="s">
        <v>2697</v>
      </c>
      <c r="BP439" s="83" t="s">
        <v>2698</v>
      </c>
      <c r="BQ439" s="83" t="s">
        <v>2699</v>
      </c>
      <c r="BR439" s="83" t="s">
        <v>2693</v>
      </c>
      <c r="BS439" s="83" t="s">
        <v>2699</v>
      </c>
      <c r="BT439" s="83" t="s">
        <v>2696</v>
      </c>
      <c r="BU439" s="83" t="s">
        <v>2699</v>
      </c>
      <c r="BV439" s="83" t="s">
        <v>2696</v>
      </c>
      <c r="BW439" s="83" t="s">
        <v>2698</v>
      </c>
      <c r="BX439" s="83" t="s">
        <v>2696</v>
      </c>
      <c r="BY439" s="83" t="s">
        <v>2699</v>
      </c>
      <c r="BZ439" s="83" t="s">
        <v>2693</v>
      </c>
      <c r="CA439" s="83" t="s">
        <v>2693</v>
      </c>
      <c r="CB439" s="83" t="s">
        <v>2694</v>
      </c>
      <c r="CC439" s="83" t="s">
        <v>2699</v>
      </c>
      <c r="CD439" s="83" t="s">
        <v>2696</v>
      </c>
      <c r="CF439" s="83" t="s">
        <v>3332</v>
      </c>
      <c r="CG439" s="83" t="s">
        <v>3333</v>
      </c>
      <c r="CH439" s="83" t="s">
        <v>2693</v>
      </c>
      <c r="CI439" s="83" t="s">
        <v>3992</v>
      </c>
      <c r="CJ439" s="83" t="s">
        <v>2701</v>
      </c>
      <c r="CK439" s="144">
        <v>0</v>
      </c>
      <c r="CL439" s="99">
        <v>98000</v>
      </c>
    </row>
    <row r="440" spans="1:90">
      <c r="A440" s="83" t="s">
        <v>3338</v>
      </c>
      <c r="B440" s="83" t="s">
        <v>3339</v>
      </c>
      <c r="D440" s="83" t="s">
        <v>688</v>
      </c>
      <c r="E440" s="83" t="s">
        <v>2619</v>
      </c>
      <c r="F440" s="83" t="s">
        <v>3340</v>
      </c>
      <c r="G440" s="83" t="s">
        <v>2335</v>
      </c>
      <c r="H440" s="83" t="s">
        <v>1201</v>
      </c>
      <c r="I440" s="83" t="s">
        <v>1202</v>
      </c>
      <c r="J440" s="83" t="s">
        <v>1203</v>
      </c>
      <c r="K440" s="83" t="s">
        <v>565</v>
      </c>
      <c r="L440" s="83" t="s">
        <v>398</v>
      </c>
      <c r="M440" s="83" t="s">
        <v>399</v>
      </c>
      <c r="N440" s="83" t="s">
        <v>3327</v>
      </c>
      <c r="O440" s="83" t="s">
        <v>106</v>
      </c>
      <c r="P440" s="83">
        <v>4</v>
      </c>
      <c r="Q440" s="83" t="s">
        <v>106</v>
      </c>
      <c r="R440" s="83" t="s">
        <v>2727</v>
      </c>
      <c r="S440" s="83" t="s">
        <v>2712</v>
      </c>
      <c r="T440" s="83" t="s">
        <v>2843</v>
      </c>
      <c r="U440" s="83" t="s">
        <v>401</v>
      </c>
      <c r="AC440" s="83" t="s">
        <v>401</v>
      </c>
      <c r="AD440" s="83">
        <v>85000</v>
      </c>
      <c r="AF440" s="83">
        <v>9000</v>
      </c>
      <c r="AJ440" s="83">
        <v>1</v>
      </c>
      <c r="AK440" s="83">
        <v>2</v>
      </c>
      <c r="AL440" s="83">
        <v>1054</v>
      </c>
      <c r="AM440" s="83" t="s">
        <v>2693</v>
      </c>
      <c r="BK440" s="83" t="s">
        <v>2694</v>
      </c>
      <c r="BL440" s="83" t="s">
        <v>2704</v>
      </c>
      <c r="BM440" s="83" t="s">
        <v>2698</v>
      </c>
      <c r="BN440" s="83" t="s">
        <v>2698</v>
      </c>
      <c r="BO440" s="83" t="s">
        <v>2697</v>
      </c>
      <c r="BP440" s="83" t="s">
        <v>2698</v>
      </c>
      <c r="BQ440" s="83" t="s">
        <v>2699</v>
      </c>
      <c r="BR440" s="83" t="s">
        <v>2693</v>
      </c>
      <c r="BS440" s="83" t="s">
        <v>2699</v>
      </c>
      <c r="BT440" s="83" t="s">
        <v>2696</v>
      </c>
      <c r="BU440" s="83" t="s">
        <v>2699</v>
      </c>
      <c r="BV440" s="83" t="s">
        <v>2696</v>
      </c>
      <c r="BW440" s="83" t="s">
        <v>2698</v>
      </c>
      <c r="BX440" s="83" t="s">
        <v>2696</v>
      </c>
      <c r="BY440" s="83" t="s">
        <v>2699</v>
      </c>
      <c r="BZ440" s="83" t="s">
        <v>2693</v>
      </c>
      <c r="CA440" s="83" t="s">
        <v>2693</v>
      </c>
      <c r="CB440" s="83" t="s">
        <v>2694</v>
      </c>
      <c r="CC440" s="83" t="s">
        <v>2699</v>
      </c>
      <c r="CD440" s="83" t="s">
        <v>2696</v>
      </c>
      <c r="CF440" s="83" t="s">
        <v>3341</v>
      </c>
      <c r="CG440" s="83" t="s">
        <v>3342</v>
      </c>
      <c r="CH440" s="83" t="s">
        <v>2693</v>
      </c>
      <c r="CI440" s="83" t="s">
        <v>3992</v>
      </c>
      <c r="CJ440" s="83" t="s">
        <v>2701</v>
      </c>
      <c r="CL440" s="99">
        <v>295000</v>
      </c>
    </row>
    <row r="441" spans="1:90">
      <c r="A441" s="83" t="s">
        <v>3338</v>
      </c>
      <c r="B441" s="83" t="s">
        <v>3339</v>
      </c>
      <c r="D441" s="83" t="s">
        <v>673</v>
      </c>
      <c r="E441" s="83" t="s">
        <v>2423</v>
      </c>
      <c r="F441" s="83" t="s">
        <v>3340</v>
      </c>
      <c r="G441" s="83" t="s">
        <v>2335</v>
      </c>
      <c r="H441" s="83" t="s">
        <v>1201</v>
      </c>
      <c r="I441" s="83" t="s">
        <v>1202</v>
      </c>
      <c r="J441" s="83" t="s">
        <v>1203</v>
      </c>
      <c r="K441" s="83" t="s">
        <v>565</v>
      </c>
      <c r="L441" s="83" t="s">
        <v>398</v>
      </c>
      <c r="M441" s="83" t="s">
        <v>399</v>
      </c>
      <c r="N441" s="83" t="s">
        <v>3327</v>
      </c>
      <c r="O441" s="83" t="s">
        <v>106</v>
      </c>
      <c r="P441" s="83">
        <v>4</v>
      </c>
      <c r="Q441" s="83" t="s">
        <v>106</v>
      </c>
      <c r="R441" s="83" t="s">
        <v>2727</v>
      </c>
      <c r="S441" s="83" t="s">
        <v>2712</v>
      </c>
      <c r="T441" s="83" t="s">
        <v>2843</v>
      </c>
      <c r="U441" s="83" t="s">
        <v>401</v>
      </c>
      <c r="AC441" s="83" t="s">
        <v>401</v>
      </c>
      <c r="AD441" s="83">
        <v>34000</v>
      </c>
      <c r="AF441" s="83">
        <v>15000</v>
      </c>
      <c r="AJ441" s="83">
        <v>1</v>
      </c>
      <c r="AK441" s="83">
        <v>1</v>
      </c>
      <c r="AL441" s="83">
        <v>576</v>
      </c>
      <c r="AM441" s="83" t="s">
        <v>2693</v>
      </c>
      <c r="BK441" s="83" t="s">
        <v>2694</v>
      </c>
      <c r="BL441" s="83" t="s">
        <v>2704</v>
      </c>
      <c r="BM441" s="83" t="s">
        <v>2697</v>
      </c>
      <c r="BN441" s="83" t="s">
        <v>2698</v>
      </c>
      <c r="BO441" s="83" t="s">
        <v>2697</v>
      </c>
      <c r="BP441" s="83" t="s">
        <v>2698</v>
      </c>
      <c r="BQ441" s="83" t="s">
        <v>2699</v>
      </c>
      <c r="BR441" s="83" t="s">
        <v>2693</v>
      </c>
      <c r="BS441" s="83" t="s">
        <v>2699</v>
      </c>
      <c r="BT441" s="83" t="s">
        <v>2696</v>
      </c>
      <c r="BU441" s="83" t="s">
        <v>2699</v>
      </c>
      <c r="BV441" s="83" t="s">
        <v>2696</v>
      </c>
      <c r="BW441" s="83" t="s">
        <v>2698</v>
      </c>
      <c r="BX441" s="83" t="s">
        <v>2696</v>
      </c>
      <c r="BY441" s="83" t="s">
        <v>2699</v>
      </c>
      <c r="BZ441" s="83" t="s">
        <v>2693</v>
      </c>
      <c r="CA441" s="83" t="s">
        <v>2693</v>
      </c>
      <c r="CB441" s="83" t="s">
        <v>2694</v>
      </c>
      <c r="CC441" s="83" t="s">
        <v>2699</v>
      </c>
      <c r="CD441" s="83" t="s">
        <v>2696</v>
      </c>
      <c r="CF441" s="83" t="s">
        <v>3341</v>
      </c>
      <c r="CG441" s="83" t="s">
        <v>3343</v>
      </c>
      <c r="CH441" s="83" t="s">
        <v>2693</v>
      </c>
      <c r="CI441" s="83" t="s">
        <v>3992</v>
      </c>
      <c r="CJ441" s="83" t="s">
        <v>2701</v>
      </c>
      <c r="CK441" s="144">
        <v>0</v>
      </c>
      <c r="CL441"/>
    </row>
    <row r="442" spans="1:90">
      <c r="A442" s="83" t="s">
        <v>3510</v>
      </c>
      <c r="B442" s="83" t="s">
        <v>2420</v>
      </c>
      <c r="D442" s="83" t="s">
        <v>688</v>
      </c>
      <c r="E442" s="83" t="s">
        <v>2421</v>
      </c>
      <c r="F442" s="83" t="s">
        <v>3511</v>
      </c>
      <c r="G442" s="83" t="s">
        <v>1176</v>
      </c>
      <c r="H442" s="83" t="s">
        <v>1201</v>
      </c>
      <c r="I442" s="83" t="s">
        <v>1202</v>
      </c>
      <c r="J442" s="83" t="s">
        <v>1203</v>
      </c>
      <c r="K442" s="83" t="s">
        <v>565</v>
      </c>
      <c r="L442" s="83" t="s">
        <v>398</v>
      </c>
      <c r="M442" s="83" t="s">
        <v>399</v>
      </c>
      <c r="N442" s="83" t="s">
        <v>3455</v>
      </c>
      <c r="O442" s="83" t="s">
        <v>106</v>
      </c>
      <c r="P442" s="83">
        <v>4</v>
      </c>
      <c r="Q442" s="83" t="s">
        <v>106</v>
      </c>
      <c r="R442" s="83" t="s">
        <v>2767</v>
      </c>
      <c r="S442" s="83" t="s">
        <v>1446</v>
      </c>
      <c r="T442" s="83" t="s">
        <v>2703</v>
      </c>
      <c r="U442" s="83" t="s">
        <v>401</v>
      </c>
      <c r="AC442" s="83" t="s">
        <v>401</v>
      </c>
      <c r="AD442" s="83">
        <v>202000</v>
      </c>
      <c r="AF442" s="83">
        <v>20000</v>
      </c>
      <c r="AJ442" s="83">
        <v>1</v>
      </c>
      <c r="AK442" s="83">
        <v>2</v>
      </c>
      <c r="AL442" s="83">
        <v>2500</v>
      </c>
      <c r="AM442" s="83" t="s">
        <v>2693</v>
      </c>
      <c r="BK442" s="83" t="s">
        <v>2694</v>
      </c>
      <c r="BL442" s="83" t="s">
        <v>2704</v>
      </c>
      <c r="BM442" s="83" t="s">
        <v>2697</v>
      </c>
      <c r="BN442" s="83" t="s">
        <v>2698</v>
      </c>
      <c r="BO442" s="83" t="s">
        <v>2697</v>
      </c>
      <c r="BP442" s="83" t="s">
        <v>2695</v>
      </c>
      <c r="BQ442" s="83" t="s">
        <v>2699</v>
      </c>
      <c r="BR442" s="83" t="s">
        <v>2693</v>
      </c>
      <c r="BS442" s="83" t="s">
        <v>2699</v>
      </c>
      <c r="BT442" s="83" t="s">
        <v>2696</v>
      </c>
      <c r="BU442" s="83" t="s">
        <v>2699</v>
      </c>
      <c r="BV442" s="83" t="s">
        <v>2699</v>
      </c>
      <c r="BW442" s="83" t="s">
        <v>2693</v>
      </c>
      <c r="BX442" s="83" t="s">
        <v>2696</v>
      </c>
      <c r="BY442" s="83" t="s">
        <v>2699</v>
      </c>
      <c r="BZ442" s="83" t="s">
        <v>2699</v>
      </c>
      <c r="CA442" s="83" t="s">
        <v>2693</v>
      </c>
      <c r="CB442" s="83" t="s">
        <v>2694</v>
      </c>
      <c r="CC442" s="83" t="s">
        <v>2699</v>
      </c>
      <c r="CD442" s="83" t="s">
        <v>2696</v>
      </c>
      <c r="CF442" s="83" t="s">
        <v>761</v>
      </c>
      <c r="CG442" s="83" t="s">
        <v>762</v>
      </c>
      <c r="CH442" s="83" t="s">
        <v>2693</v>
      </c>
      <c r="CI442" s="83" t="s">
        <v>3992</v>
      </c>
      <c r="CJ442" s="83" t="s">
        <v>2701</v>
      </c>
      <c r="CK442" s="144">
        <v>3</v>
      </c>
      <c r="CL442" s="99">
        <v>619000</v>
      </c>
    </row>
    <row r="443" spans="1:90">
      <c r="A443" s="83" t="s">
        <v>1577</v>
      </c>
      <c r="B443" s="83" t="s">
        <v>745</v>
      </c>
      <c r="D443" s="83" t="s">
        <v>688</v>
      </c>
      <c r="E443" s="83" t="s">
        <v>2548</v>
      </c>
      <c r="F443" s="83" t="s">
        <v>1772</v>
      </c>
      <c r="G443" s="83" t="s">
        <v>1882</v>
      </c>
      <c r="H443" s="83" t="s">
        <v>1201</v>
      </c>
      <c r="I443" s="83" t="s">
        <v>1202</v>
      </c>
      <c r="J443" s="83" t="s">
        <v>1203</v>
      </c>
      <c r="K443" s="83" t="s">
        <v>565</v>
      </c>
      <c r="L443" s="83" t="s">
        <v>398</v>
      </c>
      <c r="M443" s="83" t="s">
        <v>399</v>
      </c>
      <c r="N443" s="83" t="s">
        <v>2735</v>
      </c>
      <c r="O443" s="83" t="s">
        <v>106</v>
      </c>
      <c r="P443" s="83">
        <v>4</v>
      </c>
      <c r="Q443" s="83" t="s">
        <v>106</v>
      </c>
      <c r="R443" s="83" t="s">
        <v>2691</v>
      </c>
      <c r="S443" s="83" t="s">
        <v>2736</v>
      </c>
      <c r="T443" s="83" t="s">
        <v>2703</v>
      </c>
      <c r="U443" s="83" t="s">
        <v>401</v>
      </c>
      <c r="AC443" s="83" t="s">
        <v>401</v>
      </c>
      <c r="AD443" s="83">
        <v>113000</v>
      </c>
      <c r="AF443" s="83">
        <v>0</v>
      </c>
      <c r="AJ443" s="83">
        <v>1</v>
      </c>
      <c r="AK443" s="83">
        <v>1</v>
      </c>
      <c r="AL443" s="83">
        <v>1080</v>
      </c>
      <c r="AM443" s="83" t="s">
        <v>2693</v>
      </c>
      <c r="BK443" s="83" t="s">
        <v>2694</v>
      </c>
      <c r="BL443" s="83" t="s">
        <v>2704</v>
      </c>
      <c r="BM443" s="83" t="s">
        <v>2698</v>
      </c>
      <c r="BN443" s="83" t="s">
        <v>2699</v>
      </c>
      <c r="BO443" s="83" t="s">
        <v>2697</v>
      </c>
      <c r="BP443" s="83" t="s">
        <v>2695</v>
      </c>
      <c r="BQ443" s="83" t="s">
        <v>2693</v>
      </c>
      <c r="BR443" s="83" t="s">
        <v>2693</v>
      </c>
      <c r="BS443" s="83" t="s">
        <v>2699</v>
      </c>
      <c r="BT443" s="83">
        <v>0</v>
      </c>
      <c r="BU443" s="83" t="s">
        <v>2699</v>
      </c>
      <c r="BV443" s="83" t="s">
        <v>2696</v>
      </c>
      <c r="BW443" s="83" t="s">
        <v>2699</v>
      </c>
      <c r="BX443" s="83" t="s">
        <v>2696</v>
      </c>
      <c r="BY443" s="83" t="s">
        <v>2699</v>
      </c>
      <c r="BZ443" s="83" t="s">
        <v>2693</v>
      </c>
      <c r="CA443" s="83" t="s">
        <v>2693</v>
      </c>
      <c r="CB443" s="83">
        <v>9</v>
      </c>
      <c r="CC443" s="83" t="s">
        <v>2699</v>
      </c>
      <c r="CD443" s="83" t="s">
        <v>2696</v>
      </c>
      <c r="CF443" s="83" t="s">
        <v>2040</v>
      </c>
      <c r="CG443" s="83" t="s">
        <v>2041</v>
      </c>
      <c r="CH443" s="83" t="s">
        <v>2693</v>
      </c>
      <c r="CI443" s="83" t="s">
        <v>3992</v>
      </c>
      <c r="CJ443" s="83" t="s">
        <v>2701</v>
      </c>
      <c r="CK443" s="144">
        <v>6</v>
      </c>
      <c r="CL443" s="99">
        <v>360000</v>
      </c>
    </row>
    <row r="444" spans="1:90">
      <c r="A444" s="83" t="s">
        <v>2737</v>
      </c>
      <c r="B444" s="83" t="s">
        <v>2738</v>
      </c>
      <c r="D444" s="83" t="s">
        <v>688</v>
      </c>
      <c r="E444" s="83" t="s">
        <v>811</v>
      </c>
      <c r="F444" s="83" t="s">
        <v>2739</v>
      </c>
      <c r="G444" s="83" t="s">
        <v>1883</v>
      </c>
      <c r="H444" s="83" t="s">
        <v>1201</v>
      </c>
      <c r="I444" s="83" t="s">
        <v>1202</v>
      </c>
      <c r="J444" s="83" t="s">
        <v>1203</v>
      </c>
      <c r="K444" s="83" t="s">
        <v>565</v>
      </c>
      <c r="L444" s="83" t="s">
        <v>398</v>
      </c>
      <c r="M444" s="83" t="s">
        <v>399</v>
      </c>
      <c r="N444" s="83" t="s">
        <v>2719</v>
      </c>
      <c r="O444" s="83" t="s">
        <v>106</v>
      </c>
      <c r="P444" s="83">
        <v>1</v>
      </c>
      <c r="Q444" s="83" t="s">
        <v>106</v>
      </c>
      <c r="R444" s="83" t="s">
        <v>2727</v>
      </c>
      <c r="S444" s="83" t="s">
        <v>2712</v>
      </c>
      <c r="T444" s="83" t="s">
        <v>2703</v>
      </c>
      <c r="U444" s="83" t="s">
        <v>401</v>
      </c>
      <c r="AC444" s="83" t="s">
        <v>401</v>
      </c>
      <c r="AD444" s="83">
        <v>11000</v>
      </c>
      <c r="AF444" s="83">
        <v>0</v>
      </c>
      <c r="AJ444" s="83">
        <v>1</v>
      </c>
      <c r="AK444" s="83">
        <v>1</v>
      </c>
      <c r="AL444" s="83">
        <v>309</v>
      </c>
      <c r="AM444" s="83" t="s">
        <v>2693</v>
      </c>
      <c r="BK444" s="83" t="s">
        <v>2694</v>
      </c>
      <c r="BL444" s="83" t="s">
        <v>2704</v>
      </c>
      <c r="BM444" s="83" t="s">
        <v>2697</v>
      </c>
      <c r="BN444" s="83" t="s">
        <v>2699</v>
      </c>
      <c r="BO444" s="83" t="s">
        <v>2697</v>
      </c>
      <c r="BP444" s="83" t="s">
        <v>2698</v>
      </c>
      <c r="BQ444" s="83" t="s">
        <v>2696</v>
      </c>
      <c r="BR444" s="83" t="s">
        <v>2696</v>
      </c>
      <c r="BS444" s="83" t="s">
        <v>2699</v>
      </c>
      <c r="BT444" s="83">
        <v>0</v>
      </c>
      <c r="BU444" s="83" t="s">
        <v>2699</v>
      </c>
      <c r="BV444" s="83" t="s">
        <v>2696</v>
      </c>
      <c r="BW444" s="83" t="s">
        <v>2696</v>
      </c>
      <c r="BX444" s="83" t="s">
        <v>2696</v>
      </c>
      <c r="BY444" s="83" t="s">
        <v>2699</v>
      </c>
      <c r="BZ444" s="83" t="s">
        <v>2699</v>
      </c>
      <c r="CA444" s="83" t="s">
        <v>2699</v>
      </c>
      <c r="CB444" s="83">
        <v>9</v>
      </c>
      <c r="CC444" s="83" t="s">
        <v>2696</v>
      </c>
      <c r="CD444" s="83" t="s">
        <v>2696</v>
      </c>
      <c r="CF444" s="83" t="s">
        <v>2149</v>
      </c>
      <c r="CG444" s="83" t="s">
        <v>2150</v>
      </c>
      <c r="CH444" s="83" t="s">
        <v>2699</v>
      </c>
      <c r="CI444" s="83">
        <v>1</v>
      </c>
      <c r="CJ444" s="83" t="s">
        <v>2734</v>
      </c>
      <c r="CK444" s="144">
        <v>0</v>
      </c>
      <c r="CL444" s="99">
        <v>5000</v>
      </c>
    </row>
    <row r="445" spans="1:90">
      <c r="A445" s="83" t="s">
        <v>1578</v>
      </c>
      <c r="B445" s="83" t="s">
        <v>1651</v>
      </c>
      <c r="D445" s="83" t="s">
        <v>688</v>
      </c>
      <c r="E445" s="83" t="s">
        <v>811</v>
      </c>
      <c r="F445" s="83" t="s">
        <v>1773</v>
      </c>
      <c r="G445" s="83" t="s">
        <v>1884</v>
      </c>
      <c r="H445" s="83" t="s">
        <v>1201</v>
      </c>
      <c r="I445" s="83" t="s">
        <v>1202</v>
      </c>
      <c r="J445" s="83" t="s">
        <v>1203</v>
      </c>
      <c r="K445" s="83" t="s">
        <v>565</v>
      </c>
      <c r="L445" s="83" t="s">
        <v>398</v>
      </c>
      <c r="M445" s="83" t="s">
        <v>399</v>
      </c>
      <c r="N445" s="83" t="s">
        <v>2709</v>
      </c>
      <c r="O445" s="83" t="s">
        <v>106</v>
      </c>
      <c r="P445" s="83">
        <v>1</v>
      </c>
      <c r="Q445" s="83" t="s">
        <v>106</v>
      </c>
      <c r="R445" s="83" t="s">
        <v>2727</v>
      </c>
      <c r="S445" s="83" t="s">
        <v>2714</v>
      </c>
      <c r="T445" s="83" t="s">
        <v>2703</v>
      </c>
      <c r="U445" s="83" t="s">
        <v>401</v>
      </c>
      <c r="AC445" s="83" t="s">
        <v>401</v>
      </c>
      <c r="AD445" s="83">
        <v>12000</v>
      </c>
      <c r="AF445" s="83">
        <v>0</v>
      </c>
      <c r="AJ445" s="83">
        <v>1</v>
      </c>
      <c r="AK445" s="83">
        <v>1</v>
      </c>
      <c r="AL445" s="83">
        <v>432</v>
      </c>
      <c r="AM445" s="83" t="s">
        <v>2693</v>
      </c>
      <c r="BK445" s="83" t="s">
        <v>2694</v>
      </c>
      <c r="BL445" s="83" t="s">
        <v>2704</v>
      </c>
      <c r="BM445" s="83" t="s">
        <v>2697</v>
      </c>
      <c r="BN445" s="83" t="s">
        <v>2696</v>
      </c>
      <c r="BO445" s="83" t="s">
        <v>2697</v>
      </c>
      <c r="BP445" s="83" t="s">
        <v>2698</v>
      </c>
      <c r="BQ445" s="83" t="s">
        <v>2693</v>
      </c>
      <c r="BR445" s="83" t="s">
        <v>2693</v>
      </c>
      <c r="BS445" s="83" t="s">
        <v>2699</v>
      </c>
      <c r="BT445" s="83">
        <v>0</v>
      </c>
      <c r="BU445" s="83" t="s">
        <v>2699</v>
      </c>
      <c r="BV445" s="83" t="s">
        <v>2696</v>
      </c>
      <c r="BW445" s="83" t="s">
        <v>2696</v>
      </c>
      <c r="BX445" s="83" t="s">
        <v>2696</v>
      </c>
      <c r="BY445" s="83" t="s">
        <v>2699</v>
      </c>
      <c r="BZ445" s="83" t="s">
        <v>2696</v>
      </c>
      <c r="CA445" s="83" t="s">
        <v>2699</v>
      </c>
      <c r="CB445" s="83">
        <v>9</v>
      </c>
      <c r="CC445" s="83" t="s">
        <v>2696</v>
      </c>
      <c r="CD445" s="83" t="s">
        <v>2696</v>
      </c>
      <c r="CF445" s="83" t="s">
        <v>2125</v>
      </c>
      <c r="CG445" s="83" t="s">
        <v>2126</v>
      </c>
      <c r="CH445" s="83" t="s">
        <v>2699</v>
      </c>
      <c r="CI445" s="83">
        <v>1</v>
      </c>
      <c r="CJ445" s="83" t="s">
        <v>2734</v>
      </c>
      <c r="CK445" s="144">
        <v>0</v>
      </c>
      <c r="CL445" s="99">
        <v>287000</v>
      </c>
    </row>
    <row r="446" spans="1:90">
      <c r="A446" s="83" t="s">
        <v>3177</v>
      </c>
      <c r="B446" s="83" t="s">
        <v>2614</v>
      </c>
      <c r="D446" s="83" t="s">
        <v>688</v>
      </c>
      <c r="E446" s="83" t="s">
        <v>2610</v>
      </c>
      <c r="F446" s="83" t="s">
        <v>3178</v>
      </c>
      <c r="G446" s="83" t="s">
        <v>2305</v>
      </c>
      <c r="H446" s="83" t="s">
        <v>1201</v>
      </c>
      <c r="I446" s="83" t="s">
        <v>1202</v>
      </c>
      <c r="J446" s="83" t="s">
        <v>1203</v>
      </c>
      <c r="K446" s="83" t="s">
        <v>565</v>
      </c>
      <c r="L446" s="83" t="s">
        <v>398</v>
      </c>
      <c r="M446" s="83" t="s">
        <v>399</v>
      </c>
      <c r="N446" s="83" t="s">
        <v>2833</v>
      </c>
      <c r="O446" s="83" t="s">
        <v>106</v>
      </c>
      <c r="P446" s="83">
        <v>4</v>
      </c>
      <c r="Q446" s="83" t="s">
        <v>106</v>
      </c>
      <c r="R446" s="83" t="s">
        <v>2727</v>
      </c>
      <c r="S446" s="83" t="s">
        <v>1464</v>
      </c>
      <c r="T446" s="83" t="s">
        <v>2843</v>
      </c>
      <c r="U446" s="83" t="s">
        <v>401</v>
      </c>
      <c r="AC446" s="83" t="s">
        <v>401</v>
      </c>
      <c r="AD446" s="83">
        <v>895000</v>
      </c>
      <c r="AF446" s="83">
        <v>77000</v>
      </c>
      <c r="AJ446" s="83">
        <v>1</v>
      </c>
      <c r="AK446" s="83">
        <v>1</v>
      </c>
      <c r="AL446" s="83">
        <v>7798</v>
      </c>
      <c r="AM446" s="83" t="s">
        <v>2693</v>
      </c>
      <c r="BK446" s="83" t="s">
        <v>2694</v>
      </c>
      <c r="BL446" s="83" t="s">
        <v>2704</v>
      </c>
      <c r="BM446" s="83" t="s">
        <v>2697</v>
      </c>
      <c r="BN446" s="83" t="s">
        <v>2698</v>
      </c>
      <c r="BO446" s="83" t="s">
        <v>2697</v>
      </c>
      <c r="BP446" s="83" t="s">
        <v>2698</v>
      </c>
      <c r="BQ446" s="83" t="s">
        <v>2699</v>
      </c>
      <c r="BR446" s="83" t="s">
        <v>2693</v>
      </c>
      <c r="BS446" s="83" t="s">
        <v>2699</v>
      </c>
      <c r="BT446" s="83" t="s">
        <v>2696</v>
      </c>
      <c r="BU446" s="83" t="s">
        <v>2699</v>
      </c>
      <c r="BV446" s="83" t="s">
        <v>2696</v>
      </c>
      <c r="BW446" s="83" t="s">
        <v>2698</v>
      </c>
      <c r="BX446" s="83" t="s">
        <v>2696</v>
      </c>
      <c r="BY446" s="83" t="s">
        <v>2699</v>
      </c>
      <c r="BZ446" s="83" t="s">
        <v>2693</v>
      </c>
      <c r="CA446" s="83" t="s">
        <v>2693</v>
      </c>
      <c r="CB446" s="83" t="s">
        <v>2694</v>
      </c>
      <c r="CC446" s="83" t="s">
        <v>2699</v>
      </c>
      <c r="CD446" s="83" t="s">
        <v>2696</v>
      </c>
      <c r="CF446" s="83" t="s">
        <v>3179</v>
      </c>
      <c r="CG446" s="83" t="s">
        <v>3180</v>
      </c>
      <c r="CH446" s="83" t="s">
        <v>2693</v>
      </c>
      <c r="CI446" s="83" t="s">
        <v>3992</v>
      </c>
      <c r="CJ446" s="83" t="s">
        <v>2701</v>
      </c>
      <c r="CL446" s="99">
        <v>883000</v>
      </c>
    </row>
    <row r="447" spans="1:90">
      <c r="A447" s="83" t="s">
        <v>3177</v>
      </c>
      <c r="B447" s="83" t="s">
        <v>2614</v>
      </c>
      <c r="D447" s="83" t="s">
        <v>673</v>
      </c>
      <c r="E447" s="83" t="s">
        <v>2611</v>
      </c>
      <c r="F447" s="83" t="s">
        <v>3178</v>
      </c>
      <c r="G447" s="83" t="s">
        <v>2305</v>
      </c>
      <c r="H447" s="83" t="s">
        <v>1201</v>
      </c>
      <c r="I447" s="83" t="s">
        <v>1202</v>
      </c>
      <c r="J447" s="83" t="s">
        <v>1203</v>
      </c>
      <c r="K447" s="83" t="s">
        <v>565</v>
      </c>
      <c r="L447" s="83" t="s">
        <v>398</v>
      </c>
      <c r="M447" s="83" t="s">
        <v>399</v>
      </c>
      <c r="N447" s="83" t="s">
        <v>2833</v>
      </c>
      <c r="O447" s="83" t="s">
        <v>106</v>
      </c>
      <c r="P447" s="83">
        <v>4</v>
      </c>
      <c r="Q447" s="83" t="s">
        <v>106</v>
      </c>
      <c r="R447" s="83" t="s">
        <v>2727</v>
      </c>
      <c r="S447" s="83" t="s">
        <v>1464</v>
      </c>
      <c r="T447" s="83" t="s">
        <v>2843</v>
      </c>
      <c r="U447" s="83" t="s">
        <v>401</v>
      </c>
      <c r="AC447" s="83" t="s">
        <v>401</v>
      </c>
      <c r="AD447" s="83">
        <v>166000</v>
      </c>
      <c r="AF447" s="83">
        <v>4000</v>
      </c>
      <c r="AJ447" s="83">
        <v>1</v>
      </c>
      <c r="AK447" s="83">
        <v>1</v>
      </c>
      <c r="AL447" s="83">
        <v>1260</v>
      </c>
      <c r="AM447" s="83" t="s">
        <v>2693</v>
      </c>
      <c r="BK447" s="83" t="s">
        <v>2694</v>
      </c>
      <c r="BL447" s="83" t="s">
        <v>2693</v>
      </c>
      <c r="BM447" s="83" t="s">
        <v>2697</v>
      </c>
      <c r="BN447" s="83" t="s">
        <v>2698</v>
      </c>
      <c r="BO447" s="83" t="s">
        <v>2697</v>
      </c>
      <c r="BP447" s="83" t="s">
        <v>2698</v>
      </c>
      <c r="BQ447" s="83" t="s">
        <v>2699</v>
      </c>
      <c r="BR447" s="83" t="s">
        <v>2693</v>
      </c>
      <c r="BS447" s="83" t="s">
        <v>2699</v>
      </c>
      <c r="BT447" s="83" t="s">
        <v>2696</v>
      </c>
      <c r="BU447" s="83" t="s">
        <v>2699</v>
      </c>
      <c r="BV447" s="83" t="s">
        <v>2696</v>
      </c>
      <c r="BW447" s="83" t="s">
        <v>2698</v>
      </c>
      <c r="BX447" s="83" t="s">
        <v>2696</v>
      </c>
      <c r="BY447" s="83" t="s">
        <v>2699</v>
      </c>
      <c r="BZ447" s="83" t="s">
        <v>2693</v>
      </c>
      <c r="CA447" s="83" t="s">
        <v>2693</v>
      </c>
      <c r="CB447" s="83" t="s">
        <v>2694</v>
      </c>
      <c r="CC447" s="83" t="s">
        <v>2699</v>
      </c>
      <c r="CD447" s="83" t="s">
        <v>2696</v>
      </c>
      <c r="CF447" s="83" t="s">
        <v>3181</v>
      </c>
      <c r="CG447" s="83" t="s">
        <v>3182</v>
      </c>
      <c r="CH447" s="83" t="s">
        <v>2693</v>
      </c>
      <c r="CI447" s="83" t="s">
        <v>3992</v>
      </c>
      <c r="CJ447" s="83" t="s">
        <v>2701</v>
      </c>
      <c r="CK447" s="144">
        <v>0</v>
      </c>
      <c r="CL447"/>
    </row>
    <row r="448" spans="1:90">
      <c r="A448" s="83" t="s">
        <v>3177</v>
      </c>
      <c r="B448" s="83" t="s">
        <v>2614</v>
      </c>
      <c r="D448" s="83" t="s">
        <v>714</v>
      </c>
      <c r="E448" s="83" t="s">
        <v>2612</v>
      </c>
      <c r="F448" s="83" t="s">
        <v>3178</v>
      </c>
      <c r="G448" s="83" t="s">
        <v>2305</v>
      </c>
      <c r="H448" s="83" t="s">
        <v>1201</v>
      </c>
      <c r="I448" s="83" t="s">
        <v>1202</v>
      </c>
      <c r="J448" s="83" t="s">
        <v>1203</v>
      </c>
      <c r="K448" s="83" t="s">
        <v>565</v>
      </c>
      <c r="L448" s="83" t="s">
        <v>398</v>
      </c>
      <c r="M448" s="83" t="s">
        <v>399</v>
      </c>
      <c r="N448" s="83" t="s">
        <v>2833</v>
      </c>
      <c r="O448" s="83" t="s">
        <v>106</v>
      </c>
      <c r="P448" s="83">
        <v>4</v>
      </c>
      <c r="Q448" s="83" t="s">
        <v>106</v>
      </c>
      <c r="R448" s="83" t="s">
        <v>2727</v>
      </c>
      <c r="S448" s="83" t="s">
        <v>1464</v>
      </c>
      <c r="T448" s="83" t="s">
        <v>2843</v>
      </c>
      <c r="U448" s="83" t="s">
        <v>401</v>
      </c>
      <c r="AC448" s="83" t="s">
        <v>401</v>
      </c>
      <c r="AD448" s="83">
        <v>266000</v>
      </c>
      <c r="AF448" s="83">
        <v>8000</v>
      </c>
      <c r="AJ448" s="83">
        <v>1</v>
      </c>
      <c r="AK448" s="83">
        <v>2</v>
      </c>
      <c r="AL448" s="83">
        <v>2388</v>
      </c>
      <c r="AM448" s="83" t="s">
        <v>2693</v>
      </c>
      <c r="BK448" s="83" t="s">
        <v>2694</v>
      </c>
      <c r="BL448" s="83" t="s">
        <v>2693</v>
      </c>
      <c r="BM448" s="83" t="s">
        <v>2697</v>
      </c>
      <c r="BN448" s="83" t="s">
        <v>2698</v>
      </c>
      <c r="BO448" s="83" t="s">
        <v>2697</v>
      </c>
      <c r="BP448" s="83" t="s">
        <v>2698</v>
      </c>
      <c r="BQ448" s="83" t="s">
        <v>2699</v>
      </c>
      <c r="BR448" s="83" t="s">
        <v>2693</v>
      </c>
      <c r="BS448" s="83" t="s">
        <v>2699</v>
      </c>
      <c r="BT448" s="83" t="s">
        <v>2696</v>
      </c>
      <c r="BU448" s="83" t="s">
        <v>2699</v>
      </c>
      <c r="BV448" s="83" t="s">
        <v>2696</v>
      </c>
      <c r="BW448" s="83" t="s">
        <v>2698</v>
      </c>
      <c r="BX448" s="83" t="s">
        <v>2696</v>
      </c>
      <c r="BY448" s="83" t="s">
        <v>2699</v>
      </c>
      <c r="BZ448" s="83" t="s">
        <v>2693</v>
      </c>
      <c r="CA448" s="83" t="s">
        <v>2693</v>
      </c>
      <c r="CB448" s="83" t="s">
        <v>2694</v>
      </c>
      <c r="CC448" s="83" t="s">
        <v>2699</v>
      </c>
      <c r="CD448" s="83" t="s">
        <v>2696</v>
      </c>
      <c r="CF448" s="83" t="s">
        <v>3183</v>
      </c>
      <c r="CG448" s="83" t="s">
        <v>3184</v>
      </c>
      <c r="CH448" s="83" t="s">
        <v>2693</v>
      </c>
      <c r="CI448" s="83" t="s">
        <v>3992</v>
      </c>
      <c r="CJ448" s="83" t="s">
        <v>2701</v>
      </c>
      <c r="CK448" s="144">
        <v>0</v>
      </c>
      <c r="CL448"/>
    </row>
    <row r="449" spans="1:90">
      <c r="A449" s="83" t="s">
        <v>3177</v>
      </c>
      <c r="B449" s="83" t="s">
        <v>2614</v>
      </c>
      <c r="D449" s="83" t="s">
        <v>716</v>
      </c>
      <c r="E449" s="83" t="s">
        <v>2613</v>
      </c>
      <c r="F449" s="83" t="s">
        <v>3178</v>
      </c>
      <c r="G449" s="83" t="s">
        <v>2305</v>
      </c>
      <c r="H449" s="83" t="s">
        <v>1201</v>
      </c>
      <c r="I449" s="83" t="s">
        <v>1202</v>
      </c>
      <c r="J449" s="83" t="s">
        <v>1203</v>
      </c>
      <c r="K449" s="83" t="s">
        <v>565</v>
      </c>
      <c r="L449" s="83" t="s">
        <v>398</v>
      </c>
      <c r="M449" s="83" t="s">
        <v>399</v>
      </c>
      <c r="N449" s="83" t="s">
        <v>2833</v>
      </c>
      <c r="O449" s="83" t="s">
        <v>106</v>
      </c>
      <c r="P449" s="83">
        <v>1</v>
      </c>
      <c r="Q449" s="83" t="s">
        <v>106</v>
      </c>
      <c r="R449" s="83" t="s">
        <v>2727</v>
      </c>
      <c r="S449" s="83" t="s">
        <v>1464</v>
      </c>
      <c r="T449" s="83" t="s">
        <v>2843</v>
      </c>
      <c r="U449" s="83" t="s">
        <v>401</v>
      </c>
      <c r="AC449" s="83" t="s">
        <v>401</v>
      </c>
      <c r="AD449" s="83">
        <v>74000</v>
      </c>
      <c r="AF449" s="83">
        <v>62000</v>
      </c>
      <c r="AJ449" s="83">
        <v>1</v>
      </c>
      <c r="AK449" s="83">
        <v>1</v>
      </c>
      <c r="AL449" s="83">
        <v>2400</v>
      </c>
      <c r="AM449" s="83" t="s">
        <v>2693</v>
      </c>
      <c r="BK449" s="83" t="s">
        <v>2694</v>
      </c>
      <c r="BL449" s="83" t="s">
        <v>2704</v>
      </c>
      <c r="BM449" s="83" t="s">
        <v>2697</v>
      </c>
      <c r="BN449" s="83" t="s">
        <v>2698</v>
      </c>
      <c r="BO449" s="83" t="s">
        <v>2697</v>
      </c>
      <c r="BP449" s="83" t="s">
        <v>2698</v>
      </c>
      <c r="BQ449" s="83" t="s">
        <v>2699</v>
      </c>
      <c r="BR449" s="83" t="s">
        <v>2693</v>
      </c>
      <c r="BS449" s="83" t="s">
        <v>2699</v>
      </c>
      <c r="BT449" s="83" t="s">
        <v>2696</v>
      </c>
      <c r="BU449" s="83" t="s">
        <v>2699</v>
      </c>
      <c r="BV449" s="83" t="s">
        <v>2696</v>
      </c>
      <c r="BW449" s="83" t="s">
        <v>2698</v>
      </c>
      <c r="BX449" s="83" t="s">
        <v>2696</v>
      </c>
      <c r="BY449" s="83" t="s">
        <v>2699</v>
      </c>
      <c r="BZ449" s="83" t="s">
        <v>2693</v>
      </c>
      <c r="CA449" s="83" t="s">
        <v>2693</v>
      </c>
      <c r="CB449" s="83" t="s">
        <v>2694</v>
      </c>
      <c r="CC449" s="83" t="s">
        <v>2699</v>
      </c>
      <c r="CD449" s="83" t="s">
        <v>2696</v>
      </c>
      <c r="CF449" s="83" t="s">
        <v>3185</v>
      </c>
      <c r="CG449" s="83" t="s">
        <v>3186</v>
      </c>
      <c r="CH449" s="83" t="s">
        <v>2699</v>
      </c>
      <c r="CI449" s="83">
        <v>1</v>
      </c>
      <c r="CJ449" s="83" t="s">
        <v>2734</v>
      </c>
      <c r="CK449" s="144">
        <v>0</v>
      </c>
      <c r="CL449"/>
    </row>
    <row r="450" spans="1:90">
      <c r="A450" s="83" t="s">
        <v>1579</v>
      </c>
      <c r="B450" s="83" t="s">
        <v>2740</v>
      </c>
      <c r="D450" s="83" t="s">
        <v>688</v>
      </c>
      <c r="E450" s="83" t="s">
        <v>1673</v>
      </c>
      <c r="F450" s="83" t="s">
        <v>1774</v>
      </c>
      <c r="G450" s="83" t="s">
        <v>1306</v>
      </c>
      <c r="H450" s="83" t="s">
        <v>1201</v>
      </c>
      <c r="I450" s="83" t="s">
        <v>1202</v>
      </c>
      <c r="J450" s="83" t="s">
        <v>1203</v>
      </c>
      <c r="K450" s="83" t="s">
        <v>565</v>
      </c>
      <c r="L450" s="83" t="s">
        <v>398</v>
      </c>
      <c r="M450" s="83" t="s">
        <v>399</v>
      </c>
      <c r="N450" s="83" t="s">
        <v>2709</v>
      </c>
      <c r="O450" s="83" t="s">
        <v>106</v>
      </c>
      <c r="P450" s="83">
        <v>5</v>
      </c>
      <c r="Q450" s="83" t="s">
        <v>106</v>
      </c>
      <c r="R450" s="83" t="s">
        <v>2691</v>
      </c>
      <c r="S450" s="83" t="s">
        <v>2741</v>
      </c>
      <c r="T450" s="83" t="s">
        <v>2703</v>
      </c>
      <c r="U450" s="83" t="s">
        <v>401</v>
      </c>
      <c r="AC450" s="83" t="s">
        <v>401</v>
      </c>
      <c r="AD450" s="83">
        <v>6232000</v>
      </c>
      <c r="AF450" s="83">
        <v>0</v>
      </c>
      <c r="AJ450" s="83">
        <v>1</v>
      </c>
      <c r="AK450" s="83">
        <v>2</v>
      </c>
      <c r="AL450" s="83">
        <v>46752</v>
      </c>
      <c r="AM450" s="83" t="s">
        <v>2693</v>
      </c>
      <c r="BK450" s="83" t="s">
        <v>2694</v>
      </c>
      <c r="BL450" s="83" t="s">
        <v>2695</v>
      </c>
      <c r="BM450" s="83" t="s">
        <v>2693</v>
      </c>
      <c r="BN450" s="83" t="s">
        <v>2696</v>
      </c>
      <c r="BO450" s="83" t="s">
        <v>2697</v>
      </c>
      <c r="BP450" s="83" t="s">
        <v>2693</v>
      </c>
      <c r="BQ450" s="83" t="s">
        <v>2693</v>
      </c>
      <c r="BR450" s="83" t="s">
        <v>2693</v>
      </c>
      <c r="BS450" s="83" t="s">
        <v>2699</v>
      </c>
      <c r="BT450" s="83">
        <v>0</v>
      </c>
      <c r="BU450" s="83" t="s">
        <v>2699</v>
      </c>
      <c r="BV450" s="83" t="s">
        <v>2696</v>
      </c>
      <c r="BW450" s="83" t="s">
        <v>2698</v>
      </c>
      <c r="BX450" s="83" t="s">
        <v>2696</v>
      </c>
      <c r="BY450" s="83" t="s">
        <v>2699</v>
      </c>
      <c r="BZ450" s="83" t="s">
        <v>2693</v>
      </c>
      <c r="CA450" s="83" t="s">
        <v>2693</v>
      </c>
      <c r="CB450" s="83">
        <v>9</v>
      </c>
      <c r="CC450" s="83" t="s">
        <v>2699</v>
      </c>
      <c r="CD450" s="83" t="s">
        <v>2696</v>
      </c>
      <c r="CF450" s="83" t="s">
        <v>2045</v>
      </c>
      <c r="CG450" s="83" t="s">
        <v>2046</v>
      </c>
      <c r="CH450" s="83" t="s">
        <v>2725</v>
      </c>
      <c r="CI450" s="83" t="s">
        <v>1358</v>
      </c>
      <c r="CJ450" s="83" t="s">
        <v>2726</v>
      </c>
      <c r="CK450" s="144">
        <v>0</v>
      </c>
      <c r="CL450" s="99">
        <v>28000</v>
      </c>
    </row>
    <row r="451" spans="1:90">
      <c r="A451" s="83" t="s">
        <v>1579</v>
      </c>
      <c r="B451" s="83" t="s">
        <v>2740</v>
      </c>
      <c r="D451" s="83" t="s">
        <v>673</v>
      </c>
      <c r="E451" s="83" t="s">
        <v>2718</v>
      </c>
      <c r="F451" s="83" t="s">
        <v>1774</v>
      </c>
      <c r="G451" s="83" t="s">
        <v>1306</v>
      </c>
      <c r="H451" s="83" t="s">
        <v>1201</v>
      </c>
      <c r="I451" s="83" t="s">
        <v>1202</v>
      </c>
      <c r="J451" s="83" t="s">
        <v>1203</v>
      </c>
      <c r="K451" s="83" t="s">
        <v>565</v>
      </c>
      <c r="L451" s="83" t="s">
        <v>398</v>
      </c>
      <c r="M451" s="83" t="s">
        <v>399</v>
      </c>
      <c r="N451" s="83" t="s">
        <v>2709</v>
      </c>
      <c r="O451" s="83" t="s">
        <v>106</v>
      </c>
      <c r="P451" s="83">
        <v>5</v>
      </c>
      <c r="Q451" s="83" t="s">
        <v>106</v>
      </c>
      <c r="R451" s="83" t="s">
        <v>2691</v>
      </c>
      <c r="S451" s="83" t="s">
        <v>2741</v>
      </c>
      <c r="T451" s="83" t="s">
        <v>2703</v>
      </c>
      <c r="U451" s="83" t="s">
        <v>401</v>
      </c>
      <c r="AC451" s="83" t="s">
        <v>401</v>
      </c>
      <c r="AD451" s="83">
        <v>438000</v>
      </c>
      <c r="AF451" s="83">
        <v>0</v>
      </c>
      <c r="AJ451" s="83">
        <v>1</v>
      </c>
      <c r="AK451" s="83">
        <v>1</v>
      </c>
      <c r="AL451" s="83">
        <v>600</v>
      </c>
      <c r="AM451" s="83" t="s">
        <v>2693</v>
      </c>
      <c r="BK451" s="83" t="s">
        <v>2694</v>
      </c>
      <c r="BL451" s="83" t="s">
        <v>2695</v>
      </c>
      <c r="BM451" s="83" t="s">
        <v>2693</v>
      </c>
      <c r="BN451" s="83" t="s">
        <v>2696</v>
      </c>
      <c r="BO451" s="83" t="s">
        <v>2697</v>
      </c>
      <c r="BP451" s="83" t="s">
        <v>2693</v>
      </c>
      <c r="BQ451" s="83" t="s">
        <v>2693</v>
      </c>
      <c r="BR451" s="83" t="s">
        <v>2693</v>
      </c>
      <c r="BS451" s="83" t="s">
        <v>2699</v>
      </c>
      <c r="BT451" s="83">
        <v>0</v>
      </c>
      <c r="BU451" s="83" t="s">
        <v>2699</v>
      </c>
      <c r="BV451" s="83" t="s">
        <v>2696</v>
      </c>
      <c r="BW451" s="83" t="s">
        <v>2698</v>
      </c>
      <c r="BX451" s="83" t="s">
        <v>2696</v>
      </c>
      <c r="BY451" s="83" t="s">
        <v>2699</v>
      </c>
      <c r="BZ451" s="83" t="s">
        <v>2693</v>
      </c>
      <c r="CA451" s="83" t="s">
        <v>2693</v>
      </c>
      <c r="CB451" s="83">
        <v>9</v>
      </c>
      <c r="CC451" s="83" t="s">
        <v>2699</v>
      </c>
      <c r="CD451" s="83" t="s">
        <v>2696</v>
      </c>
      <c r="CF451" s="83" t="s">
        <v>2043</v>
      </c>
      <c r="CG451" s="83" t="s">
        <v>2044</v>
      </c>
      <c r="CH451" s="83" t="s">
        <v>2725</v>
      </c>
      <c r="CI451" s="83" t="s">
        <v>1358</v>
      </c>
      <c r="CJ451" s="83" t="s">
        <v>2726</v>
      </c>
      <c r="CK451" s="144">
        <v>0</v>
      </c>
      <c r="CL451"/>
    </row>
    <row r="452" spans="1:90">
      <c r="A452" s="83" t="s">
        <v>1580</v>
      </c>
      <c r="B452" s="83" t="s">
        <v>1652</v>
      </c>
      <c r="D452" s="83" t="s">
        <v>688</v>
      </c>
      <c r="E452" s="83" t="s">
        <v>704</v>
      </c>
      <c r="F452" s="83" t="s">
        <v>1775</v>
      </c>
      <c r="G452" s="83" t="s">
        <v>1171</v>
      </c>
      <c r="H452" s="83" t="s">
        <v>1201</v>
      </c>
      <c r="I452" s="83" t="s">
        <v>1202</v>
      </c>
      <c r="J452" s="83" t="s">
        <v>1203</v>
      </c>
      <c r="K452" s="83" t="s">
        <v>565</v>
      </c>
      <c r="L452" s="83" t="s">
        <v>398</v>
      </c>
      <c r="M452" s="83" t="s">
        <v>399</v>
      </c>
      <c r="N452" s="83" t="s">
        <v>2742</v>
      </c>
      <c r="O452" s="83" t="s">
        <v>106</v>
      </c>
      <c r="P452" s="83">
        <v>1</v>
      </c>
      <c r="Q452" s="83" t="s">
        <v>106</v>
      </c>
      <c r="R452" s="83" t="s">
        <v>2727</v>
      </c>
      <c r="S452" s="83" t="s">
        <v>1465</v>
      </c>
      <c r="T452" s="83" t="s">
        <v>2703</v>
      </c>
      <c r="U452" s="83" t="s">
        <v>401</v>
      </c>
      <c r="AC452" s="83" t="s">
        <v>401</v>
      </c>
      <c r="AD452" s="83">
        <v>189000</v>
      </c>
      <c r="AF452" s="83">
        <v>6000</v>
      </c>
      <c r="AJ452" s="83">
        <v>1</v>
      </c>
      <c r="AK452" s="83">
        <v>1</v>
      </c>
      <c r="AL452" s="83">
        <v>1295</v>
      </c>
      <c r="AM452" s="83" t="s">
        <v>2693</v>
      </c>
      <c r="BK452" s="83" t="s">
        <v>2694</v>
      </c>
      <c r="BL452" s="83" t="s">
        <v>2699</v>
      </c>
      <c r="BM452" s="83" t="s">
        <v>2725</v>
      </c>
      <c r="BN452" s="83" t="s">
        <v>2696</v>
      </c>
      <c r="BO452" s="83" t="s">
        <v>2697</v>
      </c>
      <c r="BP452" s="83" t="s">
        <v>2698</v>
      </c>
      <c r="BQ452" s="83" t="s">
        <v>2693</v>
      </c>
      <c r="BR452" s="83" t="s">
        <v>2693</v>
      </c>
      <c r="BS452" s="83" t="s">
        <v>2699</v>
      </c>
      <c r="BT452" s="83">
        <v>0</v>
      </c>
      <c r="BU452" s="83" t="s">
        <v>2699</v>
      </c>
      <c r="BV452" s="83" t="s">
        <v>2696</v>
      </c>
      <c r="BW452" s="83" t="s">
        <v>2697</v>
      </c>
      <c r="BX452" s="83" t="s">
        <v>2693</v>
      </c>
      <c r="BY452" s="83" t="s">
        <v>2699</v>
      </c>
      <c r="BZ452" s="83" t="s">
        <v>2696</v>
      </c>
      <c r="CA452" s="83" t="s">
        <v>2693</v>
      </c>
      <c r="CB452" s="83">
        <v>1</v>
      </c>
      <c r="CC452" s="83" t="s">
        <v>2699</v>
      </c>
      <c r="CD452" s="83" t="s">
        <v>2696</v>
      </c>
      <c r="CF452" s="83" t="s">
        <v>2238</v>
      </c>
      <c r="CG452" s="83" t="s">
        <v>2239</v>
      </c>
      <c r="CH452" s="83" t="s">
        <v>2699</v>
      </c>
      <c r="CI452" s="83">
        <v>1</v>
      </c>
      <c r="CJ452" s="83" t="s">
        <v>2734</v>
      </c>
      <c r="CK452" s="144">
        <v>1</v>
      </c>
      <c r="CL452" s="99">
        <v>36000</v>
      </c>
    </row>
    <row r="453" spans="1:90">
      <c r="A453" s="83" t="s">
        <v>3163</v>
      </c>
      <c r="B453" s="83" t="s">
        <v>974</v>
      </c>
      <c r="D453" s="83" t="s">
        <v>688</v>
      </c>
      <c r="E453" s="83" t="s">
        <v>2387</v>
      </c>
      <c r="F453" s="83" t="s">
        <v>3164</v>
      </c>
      <c r="G453" s="83" t="s">
        <v>1186</v>
      </c>
      <c r="H453" s="83" t="s">
        <v>1201</v>
      </c>
      <c r="I453" s="83" t="s">
        <v>1202</v>
      </c>
      <c r="J453" s="83" t="s">
        <v>1203</v>
      </c>
      <c r="K453" s="83" t="s">
        <v>565</v>
      </c>
      <c r="L453" s="83" t="s">
        <v>398</v>
      </c>
      <c r="M453" s="83" t="s">
        <v>399</v>
      </c>
      <c r="N453" s="83" t="s">
        <v>3152</v>
      </c>
      <c r="O453" s="83" t="s">
        <v>106</v>
      </c>
      <c r="P453" s="83">
        <v>4</v>
      </c>
      <c r="Q453" s="83" t="s">
        <v>106</v>
      </c>
      <c r="R453" s="83" t="s">
        <v>2727</v>
      </c>
      <c r="S453" s="83" t="s">
        <v>2714</v>
      </c>
      <c r="T453" s="83" t="s">
        <v>2843</v>
      </c>
      <c r="U453" s="83" t="s">
        <v>401</v>
      </c>
      <c r="AC453" s="83" t="s">
        <v>401</v>
      </c>
      <c r="AD453" s="83">
        <v>105000</v>
      </c>
      <c r="AF453" s="83">
        <v>3000</v>
      </c>
      <c r="AJ453" s="83">
        <v>1</v>
      </c>
      <c r="AK453" s="83">
        <v>1</v>
      </c>
      <c r="AL453" s="83">
        <v>786</v>
      </c>
      <c r="AM453" s="83" t="s">
        <v>2693</v>
      </c>
      <c r="BK453" s="83" t="s">
        <v>2694</v>
      </c>
      <c r="BL453" s="83" t="s">
        <v>2704</v>
      </c>
      <c r="BM453" s="83" t="s">
        <v>2697</v>
      </c>
      <c r="BN453" s="83" t="s">
        <v>2698</v>
      </c>
      <c r="BO453" s="83" t="s">
        <v>2697</v>
      </c>
      <c r="BP453" s="83" t="s">
        <v>2698</v>
      </c>
      <c r="BQ453" s="83" t="s">
        <v>2699</v>
      </c>
      <c r="BR453" s="83" t="s">
        <v>2693</v>
      </c>
      <c r="BS453" s="83" t="s">
        <v>2699</v>
      </c>
      <c r="BT453" s="83" t="s">
        <v>2696</v>
      </c>
      <c r="BU453" s="83" t="s">
        <v>2699</v>
      </c>
      <c r="BV453" s="83" t="s">
        <v>2696</v>
      </c>
      <c r="BW453" s="83" t="s">
        <v>2698</v>
      </c>
      <c r="BX453" s="83" t="s">
        <v>2696</v>
      </c>
      <c r="BY453" s="83" t="s">
        <v>2699</v>
      </c>
      <c r="BZ453" s="83" t="s">
        <v>2693</v>
      </c>
      <c r="CA453" s="83" t="s">
        <v>2693</v>
      </c>
      <c r="CB453" s="83" t="s">
        <v>2694</v>
      </c>
      <c r="CC453" s="83" t="s">
        <v>2699</v>
      </c>
      <c r="CD453" s="83" t="s">
        <v>2696</v>
      </c>
      <c r="CF453" s="83" t="s">
        <v>3165</v>
      </c>
      <c r="CG453" s="83" t="s">
        <v>2908</v>
      </c>
      <c r="CH453" s="83" t="s">
        <v>2693</v>
      </c>
      <c r="CI453" s="83" t="s">
        <v>3992</v>
      </c>
      <c r="CJ453" s="83" t="s">
        <v>2701</v>
      </c>
      <c r="CK453" s="144">
        <v>0</v>
      </c>
      <c r="CL453" s="99">
        <v>263000</v>
      </c>
    </row>
    <row r="454" spans="1:90">
      <c r="A454" s="83" t="s">
        <v>3163</v>
      </c>
      <c r="B454" s="83" t="s">
        <v>974</v>
      </c>
      <c r="D454" s="83" t="s">
        <v>673</v>
      </c>
      <c r="E454" s="83" t="s">
        <v>2423</v>
      </c>
      <c r="F454" s="83" t="s">
        <v>3164</v>
      </c>
      <c r="G454" s="83" t="s">
        <v>1186</v>
      </c>
      <c r="H454" s="83" t="s">
        <v>1201</v>
      </c>
      <c r="I454" s="83" t="s">
        <v>1202</v>
      </c>
      <c r="J454" s="83" t="s">
        <v>1203</v>
      </c>
      <c r="K454" s="83" t="s">
        <v>565</v>
      </c>
      <c r="L454" s="83" t="s">
        <v>398</v>
      </c>
      <c r="M454" s="83" t="s">
        <v>399</v>
      </c>
      <c r="N454" s="83" t="s">
        <v>3152</v>
      </c>
      <c r="O454" s="83" t="s">
        <v>106</v>
      </c>
      <c r="P454" s="83">
        <v>4</v>
      </c>
      <c r="Q454" s="83" t="s">
        <v>106</v>
      </c>
      <c r="R454" s="83" t="s">
        <v>2727</v>
      </c>
      <c r="S454" s="83" t="s">
        <v>2712</v>
      </c>
      <c r="T454" s="83" t="s">
        <v>2843</v>
      </c>
      <c r="U454" s="83" t="s">
        <v>401</v>
      </c>
      <c r="AC454" s="83" t="s">
        <v>401</v>
      </c>
      <c r="AD454" s="83">
        <v>90000</v>
      </c>
      <c r="AF454" s="83">
        <v>34000</v>
      </c>
      <c r="AJ454" s="83">
        <v>1</v>
      </c>
      <c r="AK454" s="83">
        <v>1</v>
      </c>
      <c r="AL454" s="83">
        <v>1300</v>
      </c>
      <c r="AM454" s="83" t="s">
        <v>2693</v>
      </c>
      <c r="BK454" s="83" t="s">
        <v>2694</v>
      </c>
      <c r="BL454" s="83" t="s">
        <v>2704</v>
      </c>
      <c r="BM454" s="83" t="s">
        <v>2697</v>
      </c>
      <c r="BN454" s="83" t="s">
        <v>2698</v>
      </c>
      <c r="BO454" s="83" t="s">
        <v>2697</v>
      </c>
      <c r="BP454" s="83" t="s">
        <v>2698</v>
      </c>
      <c r="BQ454" s="83" t="s">
        <v>2699</v>
      </c>
      <c r="BR454" s="83" t="s">
        <v>2693</v>
      </c>
      <c r="BS454" s="83" t="s">
        <v>2699</v>
      </c>
      <c r="BT454" s="83" t="s">
        <v>2696</v>
      </c>
      <c r="BU454" s="83" t="s">
        <v>2699</v>
      </c>
      <c r="BV454" s="83" t="s">
        <v>2696</v>
      </c>
      <c r="BW454" s="83" t="s">
        <v>2698</v>
      </c>
      <c r="BX454" s="83" t="s">
        <v>2696</v>
      </c>
      <c r="BY454" s="83" t="s">
        <v>2699</v>
      </c>
      <c r="BZ454" s="83" t="s">
        <v>2693</v>
      </c>
      <c r="CA454" s="83" t="s">
        <v>2693</v>
      </c>
      <c r="CB454" s="83" t="s">
        <v>2694</v>
      </c>
      <c r="CC454" s="83" t="s">
        <v>2699</v>
      </c>
      <c r="CD454" s="83" t="s">
        <v>2696</v>
      </c>
      <c r="CF454" s="83" t="s">
        <v>3166</v>
      </c>
      <c r="CG454" s="83" t="s">
        <v>3167</v>
      </c>
      <c r="CH454" s="83" t="s">
        <v>2693</v>
      </c>
      <c r="CI454" s="83" t="s">
        <v>3992</v>
      </c>
      <c r="CJ454" s="83" t="s">
        <v>2701</v>
      </c>
      <c r="CK454" s="144">
        <v>0</v>
      </c>
      <c r="CL454"/>
    </row>
    <row r="455" spans="1:90">
      <c r="A455" s="83" t="s">
        <v>3512</v>
      </c>
      <c r="B455" s="83" t="s">
        <v>2422</v>
      </c>
      <c r="D455" s="83" t="s">
        <v>688</v>
      </c>
      <c r="E455" s="83" t="s">
        <v>2423</v>
      </c>
      <c r="F455" s="83" t="s">
        <v>3513</v>
      </c>
      <c r="G455" s="83" t="s">
        <v>1153</v>
      </c>
      <c r="H455" s="83" t="s">
        <v>1201</v>
      </c>
      <c r="I455" s="83" t="s">
        <v>1202</v>
      </c>
      <c r="J455" s="83" t="s">
        <v>1203</v>
      </c>
      <c r="K455" s="83" t="s">
        <v>565</v>
      </c>
      <c r="L455" s="83" t="s">
        <v>398</v>
      </c>
      <c r="M455" s="83" t="s">
        <v>399</v>
      </c>
      <c r="N455" s="83" t="s">
        <v>3057</v>
      </c>
      <c r="O455" s="83" t="s">
        <v>106</v>
      </c>
      <c r="P455" s="83">
        <v>4</v>
      </c>
      <c r="Q455" s="83" t="s">
        <v>106</v>
      </c>
      <c r="R455" s="83" t="s">
        <v>2767</v>
      </c>
      <c r="S455" s="83" t="s">
        <v>2714</v>
      </c>
      <c r="T455" s="83" t="s">
        <v>2703</v>
      </c>
      <c r="U455" s="83" t="s">
        <v>401</v>
      </c>
      <c r="AC455" s="83" t="s">
        <v>401</v>
      </c>
      <c r="AD455" s="83">
        <v>8000</v>
      </c>
      <c r="AF455" s="83">
        <v>2000</v>
      </c>
      <c r="AJ455" s="83">
        <v>1</v>
      </c>
      <c r="AK455" s="83">
        <v>1</v>
      </c>
      <c r="AL455" s="83">
        <v>144</v>
      </c>
      <c r="AM455" s="83" t="s">
        <v>2693</v>
      </c>
      <c r="BK455" s="83" t="s">
        <v>2694</v>
      </c>
      <c r="BL455" s="83" t="s">
        <v>2704</v>
      </c>
      <c r="BM455" s="83" t="s">
        <v>2698</v>
      </c>
      <c r="BN455" s="83" t="s">
        <v>2698</v>
      </c>
      <c r="BO455" s="83" t="s">
        <v>2697</v>
      </c>
      <c r="BP455" s="83" t="s">
        <v>2695</v>
      </c>
      <c r="BQ455" s="83" t="s">
        <v>2699</v>
      </c>
      <c r="BR455" s="83" t="s">
        <v>2693</v>
      </c>
      <c r="BS455" s="83" t="s">
        <v>2699</v>
      </c>
      <c r="BT455" s="83" t="s">
        <v>2696</v>
      </c>
      <c r="BU455" s="83" t="s">
        <v>2699</v>
      </c>
      <c r="BV455" s="83" t="s">
        <v>2697</v>
      </c>
      <c r="BW455" s="83" t="s">
        <v>2693</v>
      </c>
      <c r="BX455" s="83" t="s">
        <v>2696</v>
      </c>
      <c r="BY455" s="83" t="s">
        <v>2699</v>
      </c>
      <c r="BZ455" s="83" t="s">
        <v>2699</v>
      </c>
      <c r="CA455" s="83" t="s">
        <v>2693</v>
      </c>
      <c r="CB455" s="83" t="s">
        <v>2694</v>
      </c>
      <c r="CC455" s="83" t="s">
        <v>2696</v>
      </c>
      <c r="CD455" s="83" t="s">
        <v>2696</v>
      </c>
      <c r="CF455" s="83" t="s">
        <v>1050</v>
      </c>
      <c r="CG455" s="83" t="s">
        <v>1051</v>
      </c>
      <c r="CH455" s="83" t="s">
        <v>2693</v>
      </c>
      <c r="CI455" s="83" t="s">
        <v>3992</v>
      </c>
      <c r="CJ455" s="83" t="s">
        <v>2701</v>
      </c>
      <c r="CK455" s="144">
        <v>1</v>
      </c>
      <c r="CL455" s="100">
        <v>249000</v>
      </c>
    </row>
    <row r="456" spans="1:90">
      <c r="A456" s="83" t="s">
        <v>1752</v>
      </c>
      <c r="B456" s="83" t="s">
        <v>2424</v>
      </c>
      <c r="D456" s="83" t="s">
        <v>688</v>
      </c>
      <c r="E456" s="83" t="s">
        <v>811</v>
      </c>
      <c r="F456" s="83" t="s">
        <v>3514</v>
      </c>
      <c r="G456" s="83" t="s">
        <v>1177</v>
      </c>
      <c r="H456" s="83" t="s">
        <v>1201</v>
      </c>
      <c r="I456" s="83" t="s">
        <v>1202</v>
      </c>
      <c r="J456" s="83" t="s">
        <v>1203</v>
      </c>
      <c r="K456" s="83" t="s">
        <v>565</v>
      </c>
      <c r="L456" s="83" t="s">
        <v>398</v>
      </c>
      <c r="M456" s="83" t="s">
        <v>399</v>
      </c>
      <c r="N456" s="83" t="s">
        <v>3057</v>
      </c>
      <c r="O456" s="83" t="s">
        <v>106</v>
      </c>
      <c r="P456" s="83">
        <v>9</v>
      </c>
      <c r="Q456" s="83" t="s">
        <v>106</v>
      </c>
      <c r="R456" s="83" t="s">
        <v>2767</v>
      </c>
      <c r="S456" s="83" t="s">
        <v>1457</v>
      </c>
      <c r="T456" s="83" t="s">
        <v>2703</v>
      </c>
      <c r="U456" s="83" t="s">
        <v>401</v>
      </c>
      <c r="AC456" s="83" t="s">
        <v>401</v>
      </c>
      <c r="AD456" s="83">
        <v>11000</v>
      </c>
      <c r="AF456" s="83">
        <v>0</v>
      </c>
      <c r="AJ456" s="83">
        <v>1</v>
      </c>
      <c r="AK456" s="83">
        <v>1</v>
      </c>
      <c r="AL456" s="83">
        <v>484</v>
      </c>
      <c r="AM456" s="83" t="s">
        <v>2693</v>
      </c>
      <c r="BK456" s="83" t="s">
        <v>2694</v>
      </c>
      <c r="BL456" s="83" t="s">
        <v>2693</v>
      </c>
      <c r="BM456" s="83" t="s">
        <v>2697</v>
      </c>
      <c r="BN456" s="83" t="s">
        <v>2698</v>
      </c>
      <c r="BO456" s="83" t="s">
        <v>2693</v>
      </c>
      <c r="BP456" s="83" t="s">
        <v>2697</v>
      </c>
      <c r="BQ456" s="83" t="s">
        <v>2699</v>
      </c>
      <c r="BR456" s="83" t="s">
        <v>2693</v>
      </c>
      <c r="BS456" s="83" t="s">
        <v>2699</v>
      </c>
      <c r="BT456" s="83" t="s">
        <v>2696</v>
      </c>
      <c r="BU456" s="83" t="s">
        <v>2699</v>
      </c>
      <c r="BV456" s="83" t="s">
        <v>2697</v>
      </c>
      <c r="BW456" s="83" t="s">
        <v>2693</v>
      </c>
      <c r="BX456" s="83" t="s">
        <v>2696</v>
      </c>
      <c r="BY456" s="83" t="s">
        <v>2699</v>
      </c>
      <c r="BZ456" s="83" t="s">
        <v>2699</v>
      </c>
      <c r="CA456" s="83" t="s">
        <v>2693</v>
      </c>
      <c r="CB456" s="83" t="s">
        <v>2694</v>
      </c>
      <c r="CC456" s="83" t="s">
        <v>2696</v>
      </c>
      <c r="CD456" s="83" t="s">
        <v>2696</v>
      </c>
      <c r="CF456" s="83" t="s">
        <v>788</v>
      </c>
      <c r="CG456" s="83" t="s">
        <v>789</v>
      </c>
      <c r="CH456" s="83" t="s">
        <v>2697</v>
      </c>
      <c r="CI456" s="83" t="s">
        <v>648</v>
      </c>
      <c r="CJ456" s="83" t="s">
        <v>2757</v>
      </c>
      <c r="CK456" s="144">
        <v>0</v>
      </c>
      <c r="CL456" s="99">
        <v>153000</v>
      </c>
    </row>
    <row r="457" spans="1:90">
      <c r="A457" s="83" t="s">
        <v>1581</v>
      </c>
      <c r="B457" s="83" t="s">
        <v>1653</v>
      </c>
      <c r="D457" s="83" t="s">
        <v>688</v>
      </c>
      <c r="E457" s="83" t="s">
        <v>811</v>
      </c>
      <c r="F457" s="83" t="s">
        <v>1776</v>
      </c>
      <c r="G457" s="83" t="s">
        <v>1885</v>
      </c>
      <c r="H457" s="83" t="s">
        <v>1201</v>
      </c>
      <c r="I457" s="83" t="s">
        <v>1202</v>
      </c>
      <c r="J457" s="83" t="s">
        <v>1203</v>
      </c>
      <c r="K457" s="83" t="s">
        <v>565</v>
      </c>
      <c r="L457" s="83" t="s">
        <v>398</v>
      </c>
      <c r="M457" s="83" t="s">
        <v>399</v>
      </c>
      <c r="N457" s="83" t="s">
        <v>2743</v>
      </c>
      <c r="O457" s="83" t="s">
        <v>106</v>
      </c>
      <c r="P457" s="83">
        <v>1</v>
      </c>
      <c r="Q457" s="83" t="s">
        <v>106</v>
      </c>
      <c r="R457" s="83" t="s">
        <v>2727</v>
      </c>
      <c r="S457" s="83" t="s">
        <v>2714</v>
      </c>
      <c r="T457" s="83" t="s">
        <v>2703</v>
      </c>
      <c r="U457" s="83" t="s">
        <v>401</v>
      </c>
      <c r="AC457" s="83" t="s">
        <v>401</v>
      </c>
      <c r="AD457" s="83">
        <v>8000</v>
      </c>
      <c r="AF457" s="83">
        <v>0</v>
      </c>
      <c r="AJ457" s="83">
        <v>1</v>
      </c>
      <c r="AK457" s="83">
        <v>1</v>
      </c>
      <c r="AL457" s="83">
        <v>240</v>
      </c>
      <c r="AM457" s="83" t="s">
        <v>2693</v>
      </c>
      <c r="BK457" s="83" t="s">
        <v>2694</v>
      </c>
      <c r="BL457" s="83" t="s">
        <v>2704</v>
      </c>
      <c r="BM457" s="83" t="s">
        <v>2697</v>
      </c>
      <c r="BN457" s="83" t="s">
        <v>2696</v>
      </c>
      <c r="BO457" s="83" t="s">
        <v>2693</v>
      </c>
      <c r="BP457" s="83" t="s">
        <v>2698</v>
      </c>
      <c r="BQ457" s="83" t="s">
        <v>2696</v>
      </c>
      <c r="BR457" s="83" t="s">
        <v>2693</v>
      </c>
      <c r="BS457" s="83" t="s">
        <v>2699</v>
      </c>
      <c r="BT457" s="83">
        <v>0</v>
      </c>
      <c r="BU457" s="83" t="s">
        <v>2699</v>
      </c>
      <c r="BV457" s="83" t="s">
        <v>2696</v>
      </c>
      <c r="BW457" s="83" t="s">
        <v>2696</v>
      </c>
      <c r="BX457" s="83" t="s">
        <v>2696</v>
      </c>
      <c r="BY457" s="83" t="s">
        <v>2699</v>
      </c>
      <c r="BZ457" s="83" t="s">
        <v>2699</v>
      </c>
      <c r="CA457" s="83" t="s">
        <v>2699</v>
      </c>
      <c r="CB457" s="83">
        <v>9</v>
      </c>
      <c r="CC457" s="83" t="s">
        <v>2696</v>
      </c>
      <c r="CD457" s="83" t="s">
        <v>2696</v>
      </c>
      <c r="CF457" s="83" t="s">
        <v>2017</v>
      </c>
      <c r="CG457" s="83" t="s">
        <v>1024</v>
      </c>
      <c r="CH457" s="83" t="s">
        <v>2699</v>
      </c>
      <c r="CI457" s="83">
        <v>1</v>
      </c>
      <c r="CJ457" s="83" t="s">
        <v>2734</v>
      </c>
      <c r="CK457" s="144">
        <v>0</v>
      </c>
      <c r="CL457" s="99">
        <v>12000</v>
      </c>
    </row>
    <row r="458" spans="1:90">
      <c r="A458" s="83" t="s">
        <v>1581</v>
      </c>
      <c r="B458" s="83" t="s">
        <v>1653</v>
      </c>
      <c r="D458" s="83" t="s">
        <v>673</v>
      </c>
      <c r="E458" s="83" t="s">
        <v>894</v>
      </c>
      <c r="F458" s="83" t="s">
        <v>1776</v>
      </c>
      <c r="G458" s="83" t="s">
        <v>1885</v>
      </c>
      <c r="H458" s="83" t="s">
        <v>1201</v>
      </c>
      <c r="I458" s="83" t="s">
        <v>1202</v>
      </c>
      <c r="J458" s="83" t="s">
        <v>1203</v>
      </c>
      <c r="K458" s="83" t="s">
        <v>565</v>
      </c>
      <c r="L458" s="83" t="s">
        <v>398</v>
      </c>
      <c r="M458" s="83" t="s">
        <v>399</v>
      </c>
      <c r="N458" s="83" t="s">
        <v>2743</v>
      </c>
      <c r="O458" s="83" t="s">
        <v>106</v>
      </c>
      <c r="P458" s="83">
        <v>4</v>
      </c>
      <c r="Q458" s="83" t="s">
        <v>106</v>
      </c>
      <c r="R458" s="83" t="s">
        <v>2691</v>
      </c>
      <c r="S458" s="83" t="s">
        <v>1468</v>
      </c>
      <c r="T458" s="83" t="s">
        <v>2703</v>
      </c>
      <c r="U458" s="83" t="s">
        <v>401</v>
      </c>
      <c r="AC458" s="83" t="s">
        <v>401</v>
      </c>
      <c r="AD458" s="83">
        <v>44000</v>
      </c>
      <c r="AF458" s="83">
        <v>1000</v>
      </c>
      <c r="AJ458" s="83">
        <v>1</v>
      </c>
      <c r="AK458" s="83">
        <v>1</v>
      </c>
      <c r="AL458" s="83">
        <v>200</v>
      </c>
      <c r="AM458" s="83" t="s">
        <v>2693</v>
      </c>
      <c r="BK458" s="83" t="s">
        <v>2694</v>
      </c>
      <c r="BL458" s="83" t="s">
        <v>2699</v>
      </c>
      <c r="BM458" s="83" t="s">
        <v>2697</v>
      </c>
      <c r="BN458" s="83" t="s">
        <v>2696</v>
      </c>
      <c r="BO458" s="83" t="s">
        <v>2693</v>
      </c>
      <c r="BP458" s="83" t="s">
        <v>2698</v>
      </c>
      <c r="BQ458" s="83" t="s">
        <v>2696</v>
      </c>
      <c r="BR458" s="83" t="s">
        <v>2693</v>
      </c>
      <c r="BS458" s="83" t="s">
        <v>2699</v>
      </c>
      <c r="BT458" s="83">
        <v>0</v>
      </c>
      <c r="BU458" s="83" t="s">
        <v>2699</v>
      </c>
      <c r="BV458" s="83" t="s">
        <v>2696</v>
      </c>
      <c r="BW458" s="83" t="s">
        <v>2699</v>
      </c>
      <c r="BX458" s="83" t="s">
        <v>2696</v>
      </c>
      <c r="BY458" s="83" t="s">
        <v>2699</v>
      </c>
      <c r="BZ458" s="83" t="s">
        <v>2699</v>
      </c>
      <c r="CA458" s="83" t="s">
        <v>2699</v>
      </c>
      <c r="CB458" s="83">
        <v>9</v>
      </c>
      <c r="CC458" s="83" t="s">
        <v>2696</v>
      </c>
      <c r="CD458" s="83" t="s">
        <v>2696</v>
      </c>
      <c r="CF458" s="83" t="s">
        <v>2018</v>
      </c>
      <c r="CG458" s="83" t="s">
        <v>2019</v>
      </c>
      <c r="CH458" s="83" t="s">
        <v>2693</v>
      </c>
      <c r="CI458" s="83" t="s">
        <v>3992</v>
      </c>
      <c r="CJ458" s="83" t="s">
        <v>2701</v>
      </c>
      <c r="CK458" s="144">
        <v>0</v>
      </c>
      <c r="CL458"/>
    </row>
    <row r="459" spans="1:90">
      <c r="A459" s="83" t="s">
        <v>3234</v>
      </c>
      <c r="B459" s="83" t="s">
        <v>2648</v>
      </c>
      <c r="D459" s="83" t="s">
        <v>688</v>
      </c>
      <c r="E459" s="83" t="s">
        <v>2647</v>
      </c>
      <c r="F459" s="83" t="s">
        <v>3235</v>
      </c>
      <c r="G459" s="83" t="s">
        <v>2298</v>
      </c>
      <c r="H459" s="83" t="s">
        <v>1201</v>
      </c>
      <c r="I459" s="83" t="s">
        <v>1202</v>
      </c>
      <c r="J459" s="83" t="s">
        <v>1203</v>
      </c>
      <c r="K459" s="83" t="s">
        <v>565</v>
      </c>
      <c r="L459" s="83" t="s">
        <v>398</v>
      </c>
      <c r="M459" s="83" t="s">
        <v>399</v>
      </c>
      <c r="N459" s="83" t="s">
        <v>3228</v>
      </c>
      <c r="O459" s="83" t="s">
        <v>106</v>
      </c>
      <c r="P459" s="83">
        <v>4</v>
      </c>
      <c r="Q459" s="83" t="s">
        <v>106</v>
      </c>
      <c r="R459" s="83" t="s">
        <v>2727</v>
      </c>
      <c r="S459" s="83" t="s">
        <v>1451</v>
      </c>
      <c r="T459" s="83" t="s">
        <v>2843</v>
      </c>
      <c r="U459" s="83" t="s">
        <v>401</v>
      </c>
      <c r="AC459" s="83" t="s">
        <v>401</v>
      </c>
      <c r="AD459" s="83">
        <v>200000</v>
      </c>
      <c r="AF459" s="83">
        <v>0</v>
      </c>
      <c r="AJ459" s="83">
        <v>1</v>
      </c>
      <c r="AK459" s="83">
        <v>1</v>
      </c>
      <c r="AL459" s="83">
        <v>1900</v>
      </c>
      <c r="AM459" s="83" t="s">
        <v>2693</v>
      </c>
      <c r="BK459" s="83" t="s">
        <v>2694</v>
      </c>
      <c r="BL459" s="83" t="s">
        <v>2704</v>
      </c>
      <c r="BM459" s="83" t="s">
        <v>2697</v>
      </c>
      <c r="BN459" s="83" t="s">
        <v>2698</v>
      </c>
      <c r="BO459" s="83" t="s">
        <v>2697</v>
      </c>
      <c r="BP459" s="83" t="s">
        <v>2698</v>
      </c>
      <c r="BQ459" s="83" t="s">
        <v>2699</v>
      </c>
      <c r="BR459" s="83" t="s">
        <v>2693</v>
      </c>
      <c r="BS459" s="83" t="s">
        <v>2699</v>
      </c>
      <c r="BT459" s="83" t="s">
        <v>2696</v>
      </c>
      <c r="BU459" s="83" t="s">
        <v>2699</v>
      </c>
      <c r="BV459" s="83" t="s">
        <v>2696</v>
      </c>
      <c r="BW459" s="83" t="s">
        <v>2698</v>
      </c>
      <c r="BX459" s="83" t="s">
        <v>2696</v>
      </c>
      <c r="BY459" s="83" t="s">
        <v>2699</v>
      </c>
      <c r="BZ459" s="83" t="s">
        <v>2693</v>
      </c>
      <c r="CA459" s="83" t="s">
        <v>2693</v>
      </c>
      <c r="CB459" s="83" t="s">
        <v>2694</v>
      </c>
      <c r="CC459" s="83" t="s">
        <v>2699</v>
      </c>
      <c r="CD459" s="83" t="s">
        <v>2696</v>
      </c>
      <c r="CF459" s="83" t="s">
        <v>3236</v>
      </c>
      <c r="CG459" s="83" t="s">
        <v>3237</v>
      </c>
      <c r="CH459" s="83" t="s">
        <v>2693</v>
      </c>
      <c r="CI459" s="83" t="s">
        <v>3992</v>
      </c>
      <c r="CJ459" s="83" t="s">
        <v>2701</v>
      </c>
      <c r="CL459" s="99">
        <v>30000</v>
      </c>
    </row>
    <row r="460" spans="1:90">
      <c r="A460" s="83" t="s">
        <v>3234</v>
      </c>
      <c r="B460" s="83" t="s">
        <v>2648</v>
      </c>
      <c r="D460" s="83" t="s">
        <v>673</v>
      </c>
      <c r="E460" s="83" t="s">
        <v>3837</v>
      </c>
      <c r="F460" s="83">
        <v>9350</v>
      </c>
      <c r="G460" s="83" t="s">
        <v>1192</v>
      </c>
      <c r="H460" s="83" t="s">
        <v>1201</v>
      </c>
      <c r="I460" s="83" t="s">
        <v>1202</v>
      </c>
      <c r="J460" s="83" t="s">
        <v>1203</v>
      </c>
      <c r="K460" s="83" t="s">
        <v>565</v>
      </c>
      <c r="L460" s="83" t="s">
        <v>398</v>
      </c>
      <c r="M460" s="83" t="s">
        <v>399</v>
      </c>
      <c r="N460" s="83" t="s">
        <v>3228</v>
      </c>
      <c r="O460" s="83" t="s">
        <v>106</v>
      </c>
      <c r="P460" s="83">
        <v>4</v>
      </c>
      <c r="Q460" s="83" t="s">
        <v>106</v>
      </c>
      <c r="R460" s="83" t="s">
        <v>2691</v>
      </c>
      <c r="S460" s="87">
        <v>22281</v>
      </c>
      <c r="T460" s="83" t="s">
        <v>2703</v>
      </c>
      <c r="U460" s="83" t="s">
        <v>401</v>
      </c>
      <c r="AC460" s="83" t="s">
        <v>401</v>
      </c>
      <c r="AD460" s="83">
        <v>56000</v>
      </c>
      <c r="AF460" s="83">
        <v>1000</v>
      </c>
      <c r="AJ460" s="83">
        <v>1</v>
      </c>
      <c r="AK460" s="83">
        <v>1</v>
      </c>
      <c r="AL460" s="83">
        <v>420</v>
      </c>
      <c r="AM460" s="83" t="s">
        <v>2693</v>
      </c>
      <c r="BK460" s="83">
        <v>9</v>
      </c>
      <c r="BL460" s="83">
        <v>7</v>
      </c>
      <c r="BM460" s="83">
        <v>5</v>
      </c>
      <c r="BN460" s="83">
        <v>5</v>
      </c>
      <c r="BO460" s="83">
        <v>2</v>
      </c>
      <c r="BP460" s="83">
        <v>5</v>
      </c>
      <c r="BQ460" s="83">
        <v>1</v>
      </c>
      <c r="BR460" s="83">
        <v>2</v>
      </c>
      <c r="BS460" s="83">
        <v>1</v>
      </c>
      <c r="BT460" s="83">
        <v>0</v>
      </c>
      <c r="BU460" s="83">
        <v>1</v>
      </c>
      <c r="BV460" s="79">
        <v>0</v>
      </c>
      <c r="BW460" s="83">
        <v>5</v>
      </c>
      <c r="BX460" s="83">
        <v>0</v>
      </c>
      <c r="BY460" s="83">
        <v>1</v>
      </c>
      <c r="BZ460" s="83">
        <v>0</v>
      </c>
      <c r="CA460" s="83">
        <v>1</v>
      </c>
      <c r="CB460" s="83">
        <v>9</v>
      </c>
      <c r="CC460" s="83">
        <v>2</v>
      </c>
      <c r="CD460" s="83">
        <v>0</v>
      </c>
      <c r="CF460" s="83" t="s">
        <v>3944</v>
      </c>
      <c r="CG460" s="83" t="s">
        <v>3945</v>
      </c>
      <c r="CH460" s="83" t="s">
        <v>2693</v>
      </c>
      <c r="CI460" s="83" t="s">
        <v>3992</v>
      </c>
      <c r="CJ460" s="83" t="s">
        <v>2701</v>
      </c>
      <c r="CL460"/>
    </row>
    <row r="461" spans="1:90">
      <c r="A461" s="83" t="s">
        <v>1582</v>
      </c>
      <c r="B461" s="83" t="s">
        <v>965</v>
      </c>
      <c r="D461" s="83" t="s">
        <v>688</v>
      </c>
      <c r="E461" s="83" t="s">
        <v>811</v>
      </c>
      <c r="F461" s="83" t="s">
        <v>1777</v>
      </c>
      <c r="G461" s="83" t="s">
        <v>1886</v>
      </c>
      <c r="H461" s="83" t="s">
        <v>1201</v>
      </c>
      <c r="I461" s="83" t="s">
        <v>1202</v>
      </c>
      <c r="J461" s="83" t="s">
        <v>1203</v>
      </c>
      <c r="K461" s="83" t="s">
        <v>565</v>
      </c>
      <c r="L461" s="83" t="s">
        <v>398</v>
      </c>
      <c r="M461" s="83" t="s">
        <v>399</v>
      </c>
      <c r="N461" s="83" t="s">
        <v>2744</v>
      </c>
      <c r="O461" s="83" t="s">
        <v>106</v>
      </c>
      <c r="P461" s="83">
        <v>1</v>
      </c>
      <c r="Q461" s="83" t="s">
        <v>106</v>
      </c>
      <c r="R461" s="83" t="s">
        <v>2727</v>
      </c>
      <c r="S461" s="83" t="s">
        <v>2714</v>
      </c>
      <c r="T461" s="83" t="s">
        <v>2703</v>
      </c>
      <c r="U461" s="83" t="s">
        <v>401</v>
      </c>
      <c r="AC461" s="83" t="s">
        <v>401</v>
      </c>
      <c r="AD461" s="83">
        <v>24000</v>
      </c>
      <c r="AF461" s="83">
        <v>0</v>
      </c>
      <c r="AJ461" s="83">
        <v>1</v>
      </c>
      <c r="AK461" s="83">
        <v>1</v>
      </c>
      <c r="AL461" s="83">
        <v>1080</v>
      </c>
      <c r="AM461" s="83" t="s">
        <v>2693</v>
      </c>
      <c r="BK461" s="83" t="s">
        <v>2694</v>
      </c>
      <c r="BL461" s="83" t="s">
        <v>2704</v>
      </c>
      <c r="BM461" s="83" t="s">
        <v>2698</v>
      </c>
      <c r="BN461" s="83" t="s">
        <v>2699</v>
      </c>
      <c r="BO461" s="83" t="s">
        <v>2697</v>
      </c>
      <c r="BP461" s="83" t="s">
        <v>2698</v>
      </c>
      <c r="BQ461" s="83" t="s">
        <v>2693</v>
      </c>
      <c r="BR461" s="83" t="s">
        <v>2693</v>
      </c>
      <c r="BS461" s="83" t="s">
        <v>2699</v>
      </c>
      <c r="BT461" s="83">
        <v>0</v>
      </c>
      <c r="BU461" s="83" t="s">
        <v>2699</v>
      </c>
      <c r="BV461" s="83" t="s">
        <v>2696</v>
      </c>
      <c r="BW461" s="83" t="s">
        <v>2696</v>
      </c>
      <c r="BX461" s="83" t="s">
        <v>2696</v>
      </c>
      <c r="BY461" s="83" t="s">
        <v>2699</v>
      </c>
      <c r="BZ461" s="83" t="s">
        <v>2699</v>
      </c>
      <c r="CA461" s="83" t="s">
        <v>2699</v>
      </c>
      <c r="CB461" s="83">
        <v>9</v>
      </c>
      <c r="CC461" s="83" t="s">
        <v>2696</v>
      </c>
      <c r="CD461" s="83" t="s">
        <v>2696</v>
      </c>
      <c r="CF461" s="83" t="s">
        <v>2069</v>
      </c>
      <c r="CG461" s="83" t="s">
        <v>2070</v>
      </c>
      <c r="CH461" s="83" t="s">
        <v>2699</v>
      </c>
      <c r="CI461" s="83">
        <v>1</v>
      </c>
      <c r="CJ461" s="83" t="s">
        <v>2734</v>
      </c>
      <c r="CK461" s="144">
        <v>0</v>
      </c>
      <c r="CL461"/>
    </row>
    <row r="462" spans="1:90">
      <c r="A462" s="83" t="s">
        <v>3515</v>
      </c>
      <c r="B462" s="83" t="s">
        <v>1049</v>
      </c>
      <c r="D462" s="83" t="s">
        <v>688</v>
      </c>
      <c r="E462" s="83" t="s">
        <v>768</v>
      </c>
      <c r="F462" s="83" t="s">
        <v>3516</v>
      </c>
      <c r="G462" s="83" t="s">
        <v>1190</v>
      </c>
      <c r="H462" s="83" t="s">
        <v>1201</v>
      </c>
      <c r="I462" s="83" t="s">
        <v>1202</v>
      </c>
      <c r="J462" s="83" t="s">
        <v>1203</v>
      </c>
      <c r="K462" s="83" t="s">
        <v>565</v>
      </c>
      <c r="L462" s="83" t="s">
        <v>398</v>
      </c>
      <c r="M462" s="83" t="s">
        <v>399</v>
      </c>
      <c r="N462" s="83" t="s">
        <v>2792</v>
      </c>
      <c r="O462" s="83" t="s">
        <v>106</v>
      </c>
      <c r="P462" s="83">
        <v>4</v>
      </c>
      <c r="Q462" s="83" t="s">
        <v>106</v>
      </c>
      <c r="R462" s="83">
        <v>40</v>
      </c>
      <c r="S462" s="83" t="s">
        <v>2793</v>
      </c>
      <c r="T462" s="83" t="s">
        <v>2703</v>
      </c>
      <c r="U462" s="83" t="s">
        <v>401</v>
      </c>
      <c r="AC462" s="83" t="s">
        <v>401</v>
      </c>
      <c r="AD462" s="83">
        <v>6000</v>
      </c>
      <c r="AF462" s="83">
        <v>1000</v>
      </c>
      <c r="AJ462" s="83">
        <v>1</v>
      </c>
      <c r="AK462" s="83">
        <v>1</v>
      </c>
      <c r="AL462" s="83">
        <v>100</v>
      </c>
      <c r="AM462" s="83" t="s">
        <v>2693</v>
      </c>
      <c r="BK462" s="83" t="s">
        <v>2694</v>
      </c>
      <c r="BL462" s="83" t="s">
        <v>2704</v>
      </c>
      <c r="BM462" s="83" t="s">
        <v>2698</v>
      </c>
      <c r="BN462" s="83" t="s">
        <v>2698</v>
      </c>
      <c r="BO462" s="83" t="s">
        <v>2697</v>
      </c>
      <c r="BP462" s="83" t="s">
        <v>2695</v>
      </c>
      <c r="BQ462" s="83" t="s">
        <v>2699</v>
      </c>
      <c r="BR462" s="83" t="s">
        <v>2693</v>
      </c>
      <c r="BS462" s="83" t="s">
        <v>2699</v>
      </c>
      <c r="BT462" s="83" t="s">
        <v>2696</v>
      </c>
      <c r="BU462" s="83" t="s">
        <v>2699</v>
      </c>
      <c r="BV462" s="83" t="s">
        <v>2697</v>
      </c>
      <c r="BW462" s="83" t="s">
        <v>2698</v>
      </c>
      <c r="BX462" s="83" t="s">
        <v>2696</v>
      </c>
      <c r="BY462" s="83" t="s">
        <v>2699</v>
      </c>
      <c r="BZ462" s="83" t="s">
        <v>2699</v>
      </c>
      <c r="CA462" s="83" t="s">
        <v>2693</v>
      </c>
      <c r="CB462" s="83" t="s">
        <v>2694</v>
      </c>
      <c r="CC462" s="83" t="s">
        <v>2696</v>
      </c>
      <c r="CD462" s="83" t="s">
        <v>2696</v>
      </c>
      <c r="CF462" s="83" t="s">
        <v>769</v>
      </c>
      <c r="CG462" s="83" t="s">
        <v>766</v>
      </c>
      <c r="CH462" s="83" t="s">
        <v>2693</v>
      </c>
      <c r="CI462" s="83" t="s">
        <v>3992</v>
      </c>
      <c r="CJ462" s="83" t="s">
        <v>2701</v>
      </c>
      <c r="CK462" s="144">
        <v>0</v>
      </c>
      <c r="CL462" s="99">
        <v>286000</v>
      </c>
    </row>
    <row r="463" spans="1:90">
      <c r="A463" s="83" t="s">
        <v>1583</v>
      </c>
      <c r="B463" s="83" t="s">
        <v>2745</v>
      </c>
      <c r="D463" s="83" t="s">
        <v>688</v>
      </c>
      <c r="E463" s="83" t="s">
        <v>894</v>
      </c>
      <c r="F463" s="83" t="s">
        <v>1778</v>
      </c>
      <c r="G463" s="83" t="s">
        <v>1887</v>
      </c>
      <c r="H463" s="83" t="s">
        <v>1201</v>
      </c>
      <c r="I463" s="83" t="s">
        <v>1202</v>
      </c>
      <c r="J463" s="83" t="s">
        <v>1203</v>
      </c>
      <c r="K463" s="83" t="s">
        <v>565</v>
      </c>
      <c r="L463" s="83" t="s">
        <v>398</v>
      </c>
      <c r="M463" s="83" t="s">
        <v>399</v>
      </c>
      <c r="N463" s="83" t="s">
        <v>2735</v>
      </c>
      <c r="O463" s="83" t="s">
        <v>106</v>
      </c>
      <c r="P463" s="83">
        <v>4</v>
      </c>
      <c r="Q463" s="83" t="s">
        <v>106</v>
      </c>
      <c r="R463" s="83" t="s">
        <v>2727</v>
      </c>
      <c r="S463" s="83" t="s">
        <v>2746</v>
      </c>
      <c r="T463" s="83" t="s">
        <v>2703</v>
      </c>
      <c r="U463" s="83" t="s">
        <v>401</v>
      </c>
      <c r="AC463" s="83" t="s">
        <v>401</v>
      </c>
      <c r="AD463" s="83">
        <v>90000</v>
      </c>
      <c r="AF463" s="83">
        <v>0</v>
      </c>
      <c r="AJ463" s="83">
        <v>1</v>
      </c>
      <c r="AK463" s="83">
        <v>1</v>
      </c>
      <c r="AL463" s="83">
        <v>1440</v>
      </c>
      <c r="AM463" s="83" t="s">
        <v>2693</v>
      </c>
      <c r="BK463" s="83" t="s">
        <v>2694</v>
      </c>
      <c r="BL463" s="83" t="s">
        <v>2704</v>
      </c>
      <c r="BM463" s="83" t="s">
        <v>2697</v>
      </c>
      <c r="BN463" s="83" t="s">
        <v>2699</v>
      </c>
      <c r="BO463" s="83" t="s">
        <v>2697</v>
      </c>
      <c r="BP463" s="83" t="s">
        <v>2698</v>
      </c>
      <c r="BQ463" s="83" t="s">
        <v>2693</v>
      </c>
      <c r="BR463" s="83" t="s">
        <v>2693</v>
      </c>
      <c r="BS463" s="83" t="s">
        <v>2699</v>
      </c>
      <c r="BT463" s="83">
        <v>0</v>
      </c>
      <c r="BU463" s="83" t="s">
        <v>2699</v>
      </c>
      <c r="BV463" s="83" t="s">
        <v>2696</v>
      </c>
      <c r="BW463" s="83" t="s">
        <v>2698</v>
      </c>
      <c r="BX463" s="83" t="s">
        <v>2696</v>
      </c>
      <c r="BY463" s="83" t="s">
        <v>2699</v>
      </c>
      <c r="BZ463" s="83" t="s">
        <v>2699</v>
      </c>
      <c r="CA463" s="83" t="s">
        <v>2693</v>
      </c>
      <c r="CB463" s="83">
        <v>9</v>
      </c>
      <c r="CC463" s="83" t="s">
        <v>2699</v>
      </c>
      <c r="CD463" s="83" t="s">
        <v>2696</v>
      </c>
      <c r="CF463" s="83" t="s">
        <v>2251</v>
      </c>
      <c r="CG463" s="83" t="s">
        <v>2252</v>
      </c>
      <c r="CH463" s="83" t="s">
        <v>2693</v>
      </c>
      <c r="CI463" s="83" t="s">
        <v>3992</v>
      </c>
      <c r="CJ463" s="83" t="s">
        <v>2701</v>
      </c>
      <c r="CK463" s="144">
        <v>0</v>
      </c>
      <c r="CL463" s="99">
        <v>200000</v>
      </c>
    </row>
    <row r="464" spans="1:90">
      <c r="A464" s="83" t="s">
        <v>1583</v>
      </c>
      <c r="B464" s="83" t="s">
        <v>2745</v>
      </c>
      <c r="D464" s="83" t="s">
        <v>673</v>
      </c>
      <c r="E464" s="83" t="s">
        <v>2423</v>
      </c>
      <c r="F464" s="83" t="s">
        <v>1778</v>
      </c>
      <c r="G464" s="83" t="s">
        <v>1887</v>
      </c>
      <c r="H464" s="83" t="s">
        <v>1201</v>
      </c>
      <c r="I464" s="83" t="s">
        <v>1202</v>
      </c>
      <c r="J464" s="83" t="s">
        <v>1203</v>
      </c>
      <c r="K464" s="83" t="s">
        <v>565</v>
      </c>
      <c r="L464" s="83" t="s">
        <v>398</v>
      </c>
      <c r="M464" s="83" t="s">
        <v>399</v>
      </c>
      <c r="N464" s="83" t="s">
        <v>2735</v>
      </c>
      <c r="O464" s="83" t="s">
        <v>106</v>
      </c>
      <c r="P464" s="83">
        <v>4</v>
      </c>
      <c r="Q464" s="83" t="s">
        <v>106</v>
      </c>
      <c r="R464" s="83" t="s">
        <v>2727</v>
      </c>
      <c r="S464" s="83" t="s">
        <v>2746</v>
      </c>
      <c r="T464" s="83" t="s">
        <v>2703</v>
      </c>
      <c r="U464" s="83" t="s">
        <v>401</v>
      </c>
      <c r="AC464" s="83" t="s">
        <v>401</v>
      </c>
      <c r="AD464" s="83">
        <v>37000</v>
      </c>
      <c r="AF464" s="83">
        <v>0</v>
      </c>
      <c r="AJ464" s="83">
        <v>1</v>
      </c>
      <c r="AK464" s="83">
        <v>1</v>
      </c>
      <c r="AL464" s="83">
        <v>576</v>
      </c>
      <c r="AM464" s="83" t="s">
        <v>2693</v>
      </c>
      <c r="BK464" s="83" t="s">
        <v>2694</v>
      </c>
      <c r="BL464" s="83" t="s">
        <v>2704</v>
      </c>
      <c r="BM464" s="83" t="s">
        <v>2698</v>
      </c>
      <c r="BN464" s="83" t="s">
        <v>2693</v>
      </c>
      <c r="BO464" s="83" t="s">
        <v>2697</v>
      </c>
      <c r="BP464" s="83" t="s">
        <v>2698</v>
      </c>
      <c r="BQ464" s="83" t="s">
        <v>2693</v>
      </c>
      <c r="BR464" s="83" t="s">
        <v>2693</v>
      </c>
      <c r="BS464" s="83" t="s">
        <v>2699</v>
      </c>
      <c r="BT464" s="83">
        <v>0</v>
      </c>
      <c r="BU464" s="83" t="s">
        <v>2699</v>
      </c>
      <c r="BV464" s="83" t="s">
        <v>2696</v>
      </c>
      <c r="BW464" s="83" t="s">
        <v>2698</v>
      </c>
      <c r="BX464" s="83" t="s">
        <v>2696</v>
      </c>
      <c r="BY464" s="83" t="s">
        <v>2699</v>
      </c>
      <c r="BZ464" s="83" t="s">
        <v>2696</v>
      </c>
      <c r="CA464" s="83" t="s">
        <v>2693</v>
      </c>
      <c r="CB464" s="83">
        <v>9</v>
      </c>
      <c r="CC464" s="83" t="s">
        <v>2699</v>
      </c>
      <c r="CD464" s="83" t="s">
        <v>2696</v>
      </c>
      <c r="CF464" s="83" t="s">
        <v>2251</v>
      </c>
      <c r="CG464" s="83" t="s">
        <v>2253</v>
      </c>
      <c r="CH464" s="83" t="s">
        <v>2693</v>
      </c>
      <c r="CI464" s="83" t="s">
        <v>3992</v>
      </c>
      <c r="CJ464" s="83" t="s">
        <v>2701</v>
      </c>
      <c r="CK464" s="144">
        <v>0</v>
      </c>
      <c r="CL464"/>
    </row>
    <row r="465" spans="1:90">
      <c r="A465" s="83" t="s">
        <v>1584</v>
      </c>
      <c r="B465" s="83" t="s">
        <v>1654</v>
      </c>
      <c r="D465" s="83" t="s">
        <v>688</v>
      </c>
      <c r="E465" s="83" t="s">
        <v>894</v>
      </c>
      <c r="F465" s="83" t="s">
        <v>1779</v>
      </c>
      <c r="G465" s="83" t="s">
        <v>1888</v>
      </c>
      <c r="H465" s="83" t="s">
        <v>1201</v>
      </c>
      <c r="I465" s="83" t="s">
        <v>1202</v>
      </c>
      <c r="J465" s="83" t="s">
        <v>1203</v>
      </c>
      <c r="K465" s="83" t="s">
        <v>565</v>
      </c>
      <c r="L465" s="83" t="s">
        <v>398</v>
      </c>
      <c r="M465" s="83" t="s">
        <v>399</v>
      </c>
      <c r="N465" s="83" t="s">
        <v>2709</v>
      </c>
      <c r="O465" s="83" t="s">
        <v>106</v>
      </c>
      <c r="P465" s="83">
        <v>4</v>
      </c>
      <c r="Q465" s="83" t="s">
        <v>106</v>
      </c>
      <c r="R465" s="83" t="s">
        <v>2727</v>
      </c>
      <c r="S465" s="83" t="s">
        <v>2712</v>
      </c>
      <c r="T465" s="83" t="s">
        <v>2703</v>
      </c>
      <c r="U465" s="83" t="s">
        <v>401</v>
      </c>
      <c r="AC465" s="83" t="s">
        <v>401</v>
      </c>
      <c r="AD465" s="83">
        <v>126000</v>
      </c>
      <c r="AF465" s="83">
        <v>4000</v>
      </c>
      <c r="AJ465" s="83">
        <v>1</v>
      </c>
      <c r="AK465" s="83">
        <v>1</v>
      </c>
      <c r="AL465" s="83">
        <v>1140</v>
      </c>
      <c r="AM465" s="83" t="s">
        <v>2693</v>
      </c>
      <c r="BK465" s="83" t="s">
        <v>2694</v>
      </c>
      <c r="BL465" s="83" t="s">
        <v>2704</v>
      </c>
      <c r="BM465" s="83" t="s">
        <v>2697</v>
      </c>
      <c r="BN465" s="83" t="s">
        <v>2699</v>
      </c>
      <c r="BO465" s="83" t="s">
        <v>2697</v>
      </c>
      <c r="BP465" s="83" t="s">
        <v>2698</v>
      </c>
      <c r="BQ465" s="83" t="s">
        <v>2693</v>
      </c>
      <c r="BR465" s="83" t="s">
        <v>2693</v>
      </c>
      <c r="BS465" s="83" t="s">
        <v>2699</v>
      </c>
      <c r="BT465" s="83">
        <v>0</v>
      </c>
      <c r="BU465" s="83" t="s">
        <v>2699</v>
      </c>
      <c r="BV465" s="83" t="s">
        <v>2696</v>
      </c>
      <c r="BW465" s="83" t="s">
        <v>2699</v>
      </c>
      <c r="BX465" s="83" t="s">
        <v>2696</v>
      </c>
      <c r="BY465" s="83" t="s">
        <v>2699</v>
      </c>
      <c r="BZ465" s="83" t="s">
        <v>2693</v>
      </c>
      <c r="CA465" s="83" t="s">
        <v>2693</v>
      </c>
      <c r="CB465" s="83">
        <v>9</v>
      </c>
      <c r="CC465" s="83" t="s">
        <v>2699</v>
      </c>
      <c r="CD465" s="83" t="s">
        <v>2696</v>
      </c>
      <c r="CF465" s="83" t="s">
        <v>1052</v>
      </c>
      <c r="CG465" s="83" t="s">
        <v>2035</v>
      </c>
      <c r="CH465" s="83" t="s">
        <v>2693</v>
      </c>
      <c r="CI465" s="83" t="s">
        <v>3992</v>
      </c>
      <c r="CJ465" s="83" t="s">
        <v>2701</v>
      </c>
      <c r="CK465" s="144">
        <v>5</v>
      </c>
      <c r="CL465" s="99">
        <v>166000</v>
      </c>
    </row>
    <row r="466" spans="1:90">
      <c r="A466" s="79" t="s">
        <v>3567</v>
      </c>
      <c r="B466" s="79" t="s">
        <v>4040</v>
      </c>
      <c r="C466" s="79"/>
      <c r="D466" s="79" t="s">
        <v>688</v>
      </c>
      <c r="E466" s="79" t="s">
        <v>4036</v>
      </c>
      <c r="F466" s="79" t="s">
        <v>3568</v>
      </c>
      <c r="G466" s="79" t="s">
        <v>1339</v>
      </c>
      <c r="H466" s="79" t="s">
        <v>1201</v>
      </c>
      <c r="I466" s="79" t="s">
        <v>1202</v>
      </c>
      <c r="J466" s="79" t="s">
        <v>1203</v>
      </c>
      <c r="K466" s="79" t="s">
        <v>565</v>
      </c>
      <c r="L466" s="79" t="s">
        <v>398</v>
      </c>
      <c r="M466" s="79" t="s">
        <v>399</v>
      </c>
      <c r="N466" s="79" t="s">
        <v>1909</v>
      </c>
      <c r="O466" s="79" t="s">
        <v>106</v>
      </c>
      <c r="P466" s="79">
        <v>4</v>
      </c>
      <c r="Q466" s="79" t="s">
        <v>106</v>
      </c>
      <c r="R466" s="79" t="s">
        <v>2727</v>
      </c>
      <c r="S466" s="79" t="s">
        <v>2712</v>
      </c>
      <c r="T466" s="79" t="s">
        <v>2703</v>
      </c>
      <c r="U466" s="79" t="s">
        <v>401</v>
      </c>
      <c r="AC466" s="79" t="s">
        <v>401</v>
      </c>
      <c r="AD466" s="79">
        <v>263000</v>
      </c>
      <c r="AE466" s="79"/>
      <c r="AF466" s="79">
        <v>16000</v>
      </c>
      <c r="AG466" s="79"/>
      <c r="AH466" s="79"/>
      <c r="AI466" s="79"/>
      <c r="AJ466" s="79">
        <v>1</v>
      </c>
      <c r="AK466" s="79">
        <v>1</v>
      </c>
      <c r="AL466" s="79">
        <v>4000</v>
      </c>
      <c r="AM466" s="79" t="s">
        <v>2693</v>
      </c>
      <c r="AN466" s="79"/>
      <c r="AO466" s="79"/>
      <c r="AP466" s="79"/>
      <c r="AQ466" s="79"/>
      <c r="AR466" s="79"/>
      <c r="AS466" s="79"/>
      <c r="AT466" s="79"/>
      <c r="AU466" s="79"/>
      <c r="AV466" s="79"/>
      <c r="AW466" s="79"/>
      <c r="AX466" s="79"/>
      <c r="AY466" s="79"/>
      <c r="AZ466" s="79"/>
      <c r="BA466" s="79"/>
      <c r="BB466" s="79"/>
      <c r="BC466" s="79"/>
      <c r="BD466" s="79"/>
      <c r="BE466" s="79"/>
      <c r="BF466" s="79"/>
      <c r="BG466" s="79"/>
      <c r="BH466" s="79"/>
      <c r="BI466" s="79"/>
      <c r="BJ466" s="79"/>
      <c r="BK466" s="79" t="s">
        <v>2694</v>
      </c>
      <c r="BL466" s="79" t="s">
        <v>2704</v>
      </c>
      <c r="BM466" s="79" t="s">
        <v>2698</v>
      </c>
      <c r="BN466" s="79" t="s">
        <v>2696</v>
      </c>
      <c r="BO466" s="79" t="s">
        <v>2697</v>
      </c>
      <c r="BP466" s="79" t="s">
        <v>2698</v>
      </c>
      <c r="BQ466" s="79" t="s">
        <v>2699</v>
      </c>
      <c r="BR466" s="79" t="s">
        <v>2693</v>
      </c>
      <c r="BS466" s="79" t="s">
        <v>2699</v>
      </c>
      <c r="BT466" s="79" t="s">
        <v>2696</v>
      </c>
      <c r="BU466" s="79">
        <v>1</v>
      </c>
      <c r="BV466" s="79" t="s">
        <v>2696</v>
      </c>
      <c r="BW466" s="79" t="s">
        <v>2698</v>
      </c>
      <c r="BX466" s="79" t="s">
        <v>2696</v>
      </c>
      <c r="BY466" s="79" t="s">
        <v>2699</v>
      </c>
      <c r="BZ466" s="79" t="s">
        <v>2699</v>
      </c>
      <c r="CA466" s="79" t="s">
        <v>2699</v>
      </c>
      <c r="CB466" s="79" t="s">
        <v>2693</v>
      </c>
      <c r="CC466" s="79" t="s">
        <v>2699</v>
      </c>
      <c r="CD466" s="79" t="s">
        <v>2696</v>
      </c>
      <c r="CE466" s="79"/>
      <c r="CF466" s="81" t="s">
        <v>4049</v>
      </c>
      <c r="CG466" s="81" t="s">
        <v>4050</v>
      </c>
      <c r="CH466" s="79" t="s">
        <v>2693</v>
      </c>
      <c r="CI466" s="79" t="s">
        <v>2076</v>
      </c>
      <c r="CJ466" s="79" t="s">
        <v>2701</v>
      </c>
      <c r="CK466" s="145">
        <v>1</v>
      </c>
      <c r="CL466" s="99">
        <v>406000</v>
      </c>
    </row>
    <row r="467" spans="1:90">
      <c r="A467" s="79" t="s">
        <v>3567</v>
      </c>
      <c r="B467" s="79" t="s">
        <v>4040</v>
      </c>
      <c r="C467" s="79"/>
      <c r="D467" s="79" t="s">
        <v>673</v>
      </c>
      <c r="E467" s="79" t="s">
        <v>4037</v>
      </c>
      <c r="F467" s="79" t="s">
        <v>3568</v>
      </c>
      <c r="G467" s="79" t="s">
        <v>1339</v>
      </c>
      <c r="H467" s="79" t="s">
        <v>1201</v>
      </c>
      <c r="I467" s="79" t="s">
        <v>1202</v>
      </c>
      <c r="J467" s="79" t="s">
        <v>1203</v>
      </c>
      <c r="K467" s="79" t="s">
        <v>565</v>
      </c>
      <c r="L467" s="79" t="s">
        <v>398</v>
      </c>
      <c r="M467" s="79" t="s">
        <v>399</v>
      </c>
      <c r="N467" s="79" t="s">
        <v>1909</v>
      </c>
      <c r="O467" s="79" t="s">
        <v>106</v>
      </c>
      <c r="P467" s="79">
        <v>4</v>
      </c>
      <c r="Q467" s="79" t="s">
        <v>106</v>
      </c>
      <c r="R467" s="79" t="s">
        <v>2727</v>
      </c>
      <c r="S467" s="79" t="s">
        <v>2712</v>
      </c>
      <c r="T467" s="79" t="s">
        <v>2703</v>
      </c>
      <c r="U467" s="79" t="s">
        <v>401</v>
      </c>
      <c r="AC467" s="79" t="s">
        <v>401</v>
      </c>
      <c r="AD467" s="79">
        <v>95000</v>
      </c>
      <c r="AE467" s="79"/>
      <c r="AF467" s="79">
        <v>11000</v>
      </c>
      <c r="AG467" s="79"/>
      <c r="AH467" s="79"/>
      <c r="AI467" s="79"/>
      <c r="AJ467" s="79">
        <v>1</v>
      </c>
      <c r="AK467" s="79">
        <v>2</v>
      </c>
      <c r="AL467" s="79">
        <v>1100</v>
      </c>
      <c r="AM467" s="79" t="s">
        <v>2693</v>
      </c>
      <c r="AN467" s="79"/>
      <c r="AO467" s="79"/>
      <c r="AP467" s="79"/>
      <c r="AQ467" s="79"/>
      <c r="AR467" s="79"/>
      <c r="AS467" s="79"/>
      <c r="AT467" s="79"/>
      <c r="AU467" s="79"/>
      <c r="AV467" s="79"/>
      <c r="AW467" s="79"/>
      <c r="AX467" s="79"/>
      <c r="AY467" s="79"/>
      <c r="AZ467" s="79"/>
      <c r="BA467" s="79"/>
      <c r="BB467" s="79"/>
      <c r="BC467" s="79"/>
      <c r="BD467" s="79"/>
      <c r="BE467" s="79"/>
      <c r="BF467" s="79"/>
      <c r="BG467" s="79"/>
      <c r="BH467" s="79"/>
      <c r="BI467" s="79"/>
      <c r="BJ467" s="79"/>
      <c r="BK467" s="79" t="s">
        <v>2694</v>
      </c>
      <c r="BL467" s="79" t="s">
        <v>2704</v>
      </c>
      <c r="BM467" s="79" t="s">
        <v>2698</v>
      </c>
      <c r="BN467" s="79" t="s">
        <v>2696</v>
      </c>
      <c r="BO467" s="79" t="s">
        <v>2697</v>
      </c>
      <c r="BP467" s="79" t="s">
        <v>2698</v>
      </c>
      <c r="BQ467" s="79" t="s">
        <v>2699</v>
      </c>
      <c r="BR467" s="79" t="s">
        <v>2693</v>
      </c>
      <c r="BS467" s="79" t="s">
        <v>2699</v>
      </c>
      <c r="BT467" s="79" t="s">
        <v>2696</v>
      </c>
      <c r="BU467" s="79">
        <v>1</v>
      </c>
      <c r="BV467" s="79" t="s">
        <v>2696</v>
      </c>
      <c r="BW467" s="79" t="s">
        <v>2698</v>
      </c>
      <c r="BX467" s="79" t="s">
        <v>2696</v>
      </c>
      <c r="BY467" s="79" t="s">
        <v>2699</v>
      </c>
      <c r="BZ467" s="79" t="s">
        <v>2699</v>
      </c>
      <c r="CA467" s="79" t="s">
        <v>2699</v>
      </c>
      <c r="CB467" s="79" t="s">
        <v>2693</v>
      </c>
      <c r="CC467" s="79" t="s">
        <v>2699</v>
      </c>
      <c r="CD467" s="79" t="s">
        <v>2696</v>
      </c>
      <c r="CE467" s="79"/>
      <c r="CF467" s="81" t="s">
        <v>4049</v>
      </c>
      <c r="CG467" s="81" t="s">
        <v>4050</v>
      </c>
      <c r="CH467" s="79" t="s">
        <v>2693</v>
      </c>
      <c r="CI467" s="79" t="s">
        <v>2076</v>
      </c>
      <c r="CJ467" s="79" t="s">
        <v>2701</v>
      </c>
      <c r="CK467" s="145"/>
      <c r="CL467"/>
    </row>
    <row r="468" spans="1:90">
      <c r="A468" s="83" t="s">
        <v>2998</v>
      </c>
      <c r="B468" s="83" t="s">
        <v>2999</v>
      </c>
      <c r="D468" s="83" t="s">
        <v>688</v>
      </c>
      <c r="E468" s="83" t="s">
        <v>2541</v>
      </c>
      <c r="F468" s="83" t="s">
        <v>3000</v>
      </c>
      <c r="G468" s="83" t="s">
        <v>2285</v>
      </c>
      <c r="H468" s="83" t="s">
        <v>1201</v>
      </c>
      <c r="I468" s="83" t="s">
        <v>1202</v>
      </c>
      <c r="J468" s="83" t="s">
        <v>1203</v>
      </c>
      <c r="K468" s="83" t="s">
        <v>565</v>
      </c>
      <c r="L468" s="83" t="s">
        <v>398</v>
      </c>
      <c r="M468" s="83" t="s">
        <v>399</v>
      </c>
      <c r="N468" s="83" t="s">
        <v>3001</v>
      </c>
      <c r="O468" s="83" t="s">
        <v>106</v>
      </c>
      <c r="P468" s="83">
        <v>4</v>
      </c>
      <c r="Q468" s="83" t="s">
        <v>106</v>
      </c>
      <c r="R468" s="83" t="s">
        <v>2727</v>
      </c>
      <c r="S468" s="83" t="s">
        <v>1458</v>
      </c>
      <c r="T468" s="83" t="s">
        <v>2843</v>
      </c>
      <c r="U468" s="83" t="s">
        <v>401</v>
      </c>
      <c r="AC468" s="83" t="s">
        <v>401</v>
      </c>
      <c r="AD468" s="83">
        <v>708000</v>
      </c>
      <c r="AF468" s="83">
        <v>77000</v>
      </c>
      <c r="AJ468" s="83">
        <v>1</v>
      </c>
      <c r="AK468" s="83">
        <v>1</v>
      </c>
      <c r="AL468" s="83">
        <v>7796</v>
      </c>
      <c r="AM468" s="83" t="s">
        <v>2693</v>
      </c>
      <c r="BK468" s="83" t="s">
        <v>2694</v>
      </c>
      <c r="BL468" s="83" t="s">
        <v>2698</v>
      </c>
      <c r="BM468" s="83" t="s">
        <v>2693</v>
      </c>
      <c r="BN468" s="83" t="s">
        <v>2698</v>
      </c>
      <c r="BO468" s="83" t="s">
        <v>2697</v>
      </c>
      <c r="BP468" s="83" t="s">
        <v>2698</v>
      </c>
      <c r="BQ468" s="83" t="s">
        <v>2699</v>
      </c>
      <c r="BR468" s="83" t="s">
        <v>2693</v>
      </c>
      <c r="BS468" s="83" t="s">
        <v>2699</v>
      </c>
      <c r="BT468" s="83" t="s">
        <v>2696</v>
      </c>
      <c r="BU468" s="83" t="s">
        <v>2699</v>
      </c>
      <c r="BV468" s="83" t="s">
        <v>2696</v>
      </c>
      <c r="BW468" s="83" t="s">
        <v>2698</v>
      </c>
      <c r="BX468" s="83" t="s">
        <v>2696</v>
      </c>
      <c r="BY468" s="83" t="s">
        <v>2699</v>
      </c>
      <c r="BZ468" s="83" t="s">
        <v>2693</v>
      </c>
      <c r="CA468" s="83" t="s">
        <v>2693</v>
      </c>
      <c r="CB468" s="83" t="s">
        <v>2694</v>
      </c>
      <c r="CC468" s="83" t="s">
        <v>2699</v>
      </c>
      <c r="CD468" s="83" t="s">
        <v>2696</v>
      </c>
      <c r="CF468" s="83" t="s">
        <v>3002</v>
      </c>
      <c r="CG468" s="83" t="s">
        <v>3003</v>
      </c>
      <c r="CH468" s="83" t="s">
        <v>2693</v>
      </c>
      <c r="CI468" s="83" t="s">
        <v>3992</v>
      </c>
      <c r="CJ468" s="83" t="s">
        <v>2701</v>
      </c>
      <c r="CK468" s="144">
        <v>0</v>
      </c>
      <c r="CL468" s="99">
        <v>199000</v>
      </c>
    </row>
    <row r="469" spans="1:90">
      <c r="A469" s="83" t="s">
        <v>2998</v>
      </c>
      <c r="B469" s="83" t="s">
        <v>2999</v>
      </c>
      <c r="D469" s="83" t="s">
        <v>673</v>
      </c>
      <c r="E469" s="83" t="s">
        <v>2542</v>
      </c>
      <c r="F469" s="83" t="s">
        <v>3000</v>
      </c>
      <c r="G469" s="83" t="s">
        <v>2285</v>
      </c>
      <c r="H469" s="83" t="s">
        <v>1201</v>
      </c>
      <c r="I469" s="83" t="s">
        <v>1202</v>
      </c>
      <c r="J469" s="83" t="s">
        <v>1203</v>
      </c>
      <c r="K469" s="83" t="s">
        <v>565</v>
      </c>
      <c r="L469" s="83" t="s">
        <v>398</v>
      </c>
      <c r="M469" s="83" t="s">
        <v>399</v>
      </c>
      <c r="N469" s="83" t="s">
        <v>3001</v>
      </c>
      <c r="O469" s="83" t="s">
        <v>106</v>
      </c>
      <c r="P469" s="83">
        <v>4</v>
      </c>
      <c r="Q469" s="83" t="s">
        <v>106</v>
      </c>
      <c r="R469" s="83" t="s">
        <v>2727</v>
      </c>
      <c r="S469" s="83" t="s">
        <v>2736</v>
      </c>
      <c r="T469" s="83" t="s">
        <v>2843</v>
      </c>
      <c r="U469" s="83" t="s">
        <v>401</v>
      </c>
      <c r="AC469" s="83" t="s">
        <v>401</v>
      </c>
      <c r="AD469" s="83">
        <v>160000</v>
      </c>
      <c r="AF469" s="83">
        <v>4000</v>
      </c>
      <c r="AJ469" s="83">
        <v>1</v>
      </c>
      <c r="AK469" s="83">
        <v>1</v>
      </c>
      <c r="AL469" s="83">
        <v>1224</v>
      </c>
      <c r="AM469" s="83" t="s">
        <v>2693</v>
      </c>
      <c r="BK469" s="83" t="s">
        <v>2694</v>
      </c>
      <c r="BL469" s="83" t="s">
        <v>2698</v>
      </c>
      <c r="BM469" s="83" t="s">
        <v>2693</v>
      </c>
      <c r="BN469" s="83" t="s">
        <v>2698</v>
      </c>
      <c r="BO469" s="83" t="s">
        <v>2697</v>
      </c>
      <c r="BP469" s="83" t="s">
        <v>2698</v>
      </c>
      <c r="BQ469" s="83" t="s">
        <v>2699</v>
      </c>
      <c r="BR469" s="83" t="s">
        <v>2693</v>
      </c>
      <c r="BS469" s="83" t="s">
        <v>2699</v>
      </c>
      <c r="BT469" s="83" t="s">
        <v>2696</v>
      </c>
      <c r="BU469" s="83" t="s">
        <v>2699</v>
      </c>
      <c r="BV469" s="83" t="s">
        <v>2696</v>
      </c>
      <c r="BW469" s="83" t="s">
        <v>2698</v>
      </c>
      <c r="BX469" s="83" t="s">
        <v>2696</v>
      </c>
      <c r="BY469" s="83" t="s">
        <v>2699</v>
      </c>
      <c r="BZ469" s="83" t="s">
        <v>2693</v>
      </c>
      <c r="CA469" s="83" t="s">
        <v>2693</v>
      </c>
      <c r="CB469" s="83" t="s">
        <v>2694</v>
      </c>
      <c r="CC469" s="83" t="s">
        <v>2699</v>
      </c>
      <c r="CD469" s="83" t="s">
        <v>2696</v>
      </c>
      <c r="CF469" s="83" t="s">
        <v>3004</v>
      </c>
      <c r="CG469" s="83" t="s">
        <v>3005</v>
      </c>
      <c r="CH469" s="83" t="s">
        <v>2693</v>
      </c>
      <c r="CI469" s="83" t="s">
        <v>3992</v>
      </c>
      <c r="CJ469" s="83" t="s">
        <v>2701</v>
      </c>
      <c r="CL469"/>
    </row>
    <row r="470" spans="1:90">
      <c r="A470" s="83" t="s">
        <v>2998</v>
      </c>
      <c r="B470" s="83" t="s">
        <v>2999</v>
      </c>
      <c r="D470" s="83" t="s">
        <v>714</v>
      </c>
      <c r="E470" s="83" t="s">
        <v>1676</v>
      </c>
      <c r="F470" s="83" t="s">
        <v>3000</v>
      </c>
      <c r="G470" s="83" t="s">
        <v>2285</v>
      </c>
      <c r="H470" s="83" t="s">
        <v>1201</v>
      </c>
      <c r="I470" s="83" t="s">
        <v>1202</v>
      </c>
      <c r="J470" s="83" t="s">
        <v>1203</v>
      </c>
      <c r="K470" s="83" t="s">
        <v>565</v>
      </c>
      <c r="L470" s="83" t="s">
        <v>398</v>
      </c>
      <c r="M470" s="83" t="s">
        <v>399</v>
      </c>
      <c r="N470" s="83" t="s">
        <v>3001</v>
      </c>
      <c r="O470" s="83" t="s">
        <v>106</v>
      </c>
      <c r="P470" s="83">
        <v>4</v>
      </c>
      <c r="Q470" s="83" t="s">
        <v>106</v>
      </c>
      <c r="R470" s="83" t="s">
        <v>2727</v>
      </c>
      <c r="S470" s="83" t="s">
        <v>2736</v>
      </c>
      <c r="T470" s="83" t="s">
        <v>2843</v>
      </c>
      <c r="U470" s="83" t="s">
        <v>401</v>
      </c>
      <c r="AC470" s="83" t="s">
        <v>401</v>
      </c>
      <c r="AD470" s="83">
        <v>38000</v>
      </c>
      <c r="AF470" s="83">
        <v>41000</v>
      </c>
      <c r="AJ470" s="83">
        <v>1</v>
      </c>
      <c r="AK470" s="83">
        <v>1</v>
      </c>
      <c r="AL470" s="83">
        <v>740</v>
      </c>
      <c r="AM470" s="83" t="s">
        <v>2693</v>
      </c>
      <c r="BK470" s="83" t="s">
        <v>2694</v>
      </c>
      <c r="BL470" s="83" t="s">
        <v>2696</v>
      </c>
      <c r="BM470" s="83" t="s">
        <v>2696</v>
      </c>
      <c r="BN470" s="83" t="s">
        <v>2698</v>
      </c>
      <c r="BO470" s="83" t="s">
        <v>2696</v>
      </c>
      <c r="BP470" s="83" t="s">
        <v>2699</v>
      </c>
      <c r="BQ470" s="83" t="s">
        <v>2699</v>
      </c>
      <c r="BR470" s="83" t="s">
        <v>2693</v>
      </c>
      <c r="BS470" s="83" t="s">
        <v>2699</v>
      </c>
      <c r="BT470" s="83" t="s">
        <v>2696</v>
      </c>
      <c r="BU470" s="83" t="s">
        <v>2699</v>
      </c>
      <c r="BV470" s="83" t="s">
        <v>2696</v>
      </c>
      <c r="BW470" s="83" t="s">
        <v>2698</v>
      </c>
      <c r="BX470" s="83" t="s">
        <v>2696</v>
      </c>
      <c r="BY470" s="83" t="s">
        <v>2699</v>
      </c>
      <c r="BZ470" s="83" t="s">
        <v>2693</v>
      </c>
      <c r="CA470" s="83" t="s">
        <v>2693</v>
      </c>
      <c r="CB470" s="83" t="s">
        <v>2694</v>
      </c>
      <c r="CC470" s="83" t="s">
        <v>2699</v>
      </c>
      <c r="CD470" s="83" t="s">
        <v>2696</v>
      </c>
      <c r="CF470" s="83" t="s">
        <v>3004</v>
      </c>
      <c r="CG470" s="83" t="s">
        <v>3006</v>
      </c>
      <c r="CH470" s="83" t="s">
        <v>2693</v>
      </c>
      <c r="CI470" s="83" t="s">
        <v>3992</v>
      </c>
      <c r="CJ470" s="83" t="s">
        <v>2701</v>
      </c>
      <c r="CK470" s="144">
        <v>0</v>
      </c>
      <c r="CL470"/>
    </row>
    <row r="471" spans="1:90">
      <c r="A471" s="83" t="s">
        <v>2998</v>
      </c>
      <c r="B471" s="83" t="s">
        <v>2999</v>
      </c>
      <c r="D471" s="83" t="s">
        <v>716</v>
      </c>
      <c r="E471" s="83" t="s">
        <v>2502</v>
      </c>
      <c r="F471" s="83">
        <v>2335</v>
      </c>
      <c r="G471" s="83" t="s">
        <v>2285</v>
      </c>
      <c r="H471" s="83" t="s">
        <v>1201</v>
      </c>
      <c r="I471" s="83" t="s">
        <v>1202</v>
      </c>
      <c r="J471" s="83" t="s">
        <v>1203</v>
      </c>
      <c r="K471" s="83" t="s">
        <v>565</v>
      </c>
      <c r="L471" s="83" t="s">
        <v>398</v>
      </c>
      <c r="M471" s="83" t="s">
        <v>399</v>
      </c>
      <c r="N471" s="83" t="s">
        <v>3001</v>
      </c>
      <c r="O471" s="83" t="s">
        <v>106</v>
      </c>
      <c r="P471" s="83">
        <v>0</v>
      </c>
      <c r="Q471" s="83" t="s">
        <v>106</v>
      </c>
      <c r="R471" s="83">
        <v>10</v>
      </c>
      <c r="S471" s="87">
        <v>28855</v>
      </c>
      <c r="T471" s="83" t="s">
        <v>2703</v>
      </c>
      <c r="U471" s="83" t="s">
        <v>401</v>
      </c>
      <c r="AC471" s="83" t="s">
        <v>401</v>
      </c>
      <c r="AD471" s="83">
        <v>508000</v>
      </c>
      <c r="AF471" s="83">
        <v>0</v>
      </c>
      <c r="AJ471" s="83">
        <v>1</v>
      </c>
      <c r="AK471" s="82">
        <v>0</v>
      </c>
      <c r="AL471" s="83">
        <v>7250</v>
      </c>
      <c r="AM471" s="83" t="s">
        <v>2693</v>
      </c>
      <c r="BK471" s="83">
        <v>0</v>
      </c>
      <c r="BL471" s="83">
        <v>0</v>
      </c>
      <c r="BM471" s="83">
        <v>0</v>
      </c>
      <c r="BN471" s="83">
        <v>0</v>
      </c>
      <c r="BO471" s="83">
        <v>0</v>
      </c>
      <c r="BP471" s="83">
        <v>0</v>
      </c>
      <c r="BQ471" s="83">
        <v>0</v>
      </c>
      <c r="BR471" s="83">
        <v>0</v>
      </c>
      <c r="BS471" s="83">
        <v>0</v>
      </c>
      <c r="BT471" s="83">
        <v>0</v>
      </c>
      <c r="BU471" s="83">
        <v>0</v>
      </c>
      <c r="BV471" s="83">
        <v>0</v>
      </c>
      <c r="BW471" s="83">
        <v>0</v>
      </c>
      <c r="BX471" s="83">
        <v>0</v>
      </c>
      <c r="BY471" s="83">
        <v>0</v>
      </c>
      <c r="BZ471" s="83">
        <v>0</v>
      </c>
      <c r="CA471" s="83">
        <v>0</v>
      </c>
      <c r="CB471" s="83">
        <v>0</v>
      </c>
      <c r="CC471" s="83">
        <v>0</v>
      </c>
      <c r="CD471" s="83">
        <v>0</v>
      </c>
      <c r="CF471" s="83" t="s">
        <v>3946</v>
      </c>
      <c r="CG471" s="83" t="s">
        <v>3947</v>
      </c>
      <c r="CJ471" s="79"/>
      <c r="CK471" s="144">
        <v>0</v>
      </c>
      <c r="CL471"/>
    </row>
    <row r="472" spans="1:90">
      <c r="A472" s="83" t="s">
        <v>2917</v>
      </c>
      <c r="B472" s="83" t="s">
        <v>2918</v>
      </c>
      <c r="D472" s="83" t="s">
        <v>688</v>
      </c>
      <c r="E472" s="83" t="s">
        <v>1676</v>
      </c>
      <c r="F472" s="83" t="s">
        <v>2919</v>
      </c>
      <c r="G472" s="83" t="s">
        <v>2272</v>
      </c>
      <c r="H472" s="83" t="s">
        <v>1201</v>
      </c>
      <c r="I472" s="83" t="s">
        <v>1202</v>
      </c>
      <c r="J472" s="83" t="s">
        <v>1203</v>
      </c>
      <c r="K472" s="83" t="s">
        <v>565</v>
      </c>
      <c r="L472" s="83" t="s">
        <v>398</v>
      </c>
      <c r="M472" s="83" t="s">
        <v>399</v>
      </c>
      <c r="N472" s="83" t="s">
        <v>2899</v>
      </c>
      <c r="O472" s="83" t="s">
        <v>106</v>
      </c>
      <c r="P472" s="83">
        <v>4</v>
      </c>
      <c r="Q472" s="83" t="s">
        <v>106</v>
      </c>
      <c r="R472" s="83" t="s">
        <v>2727</v>
      </c>
      <c r="S472" s="83" t="s">
        <v>2720</v>
      </c>
      <c r="T472" s="83" t="s">
        <v>2843</v>
      </c>
      <c r="U472" s="83" t="s">
        <v>401</v>
      </c>
      <c r="AC472" s="83" t="s">
        <v>401</v>
      </c>
      <c r="AD472" s="83">
        <v>18000</v>
      </c>
      <c r="AF472" s="83">
        <v>17000</v>
      </c>
      <c r="AJ472" s="83">
        <v>1</v>
      </c>
      <c r="AK472" s="83">
        <v>1</v>
      </c>
      <c r="AL472" s="83">
        <v>310</v>
      </c>
      <c r="AM472" s="83" t="s">
        <v>2693</v>
      </c>
      <c r="BK472" s="83" t="s">
        <v>2694</v>
      </c>
      <c r="BL472" s="83" t="s">
        <v>2696</v>
      </c>
      <c r="BM472" s="83" t="s">
        <v>2696</v>
      </c>
      <c r="BN472" s="83" t="s">
        <v>2698</v>
      </c>
      <c r="BO472" s="83" t="s">
        <v>2697</v>
      </c>
      <c r="BP472" s="83" t="s">
        <v>2699</v>
      </c>
      <c r="BQ472" s="83" t="s">
        <v>2699</v>
      </c>
      <c r="BR472" s="83" t="s">
        <v>2693</v>
      </c>
      <c r="BS472" s="83" t="s">
        <v>2699</v>
      </c>
      <c r="BT472" s="83" t="s">
        <v>2696</v>
      </c>
      <c r="BU472" s="83" t="s">
        <v>2699</v>
      </c>
      <c r="BV472" s="83" t="s">
        <v>2696</v>
      </c>
      <c r="BW472" s="83" t="s">
        <v>2698</v>
      </c>
      <c r="BX472" s="83" t="s">
        <v>2696</v>
      </c>
      <c r="BY472" s="83" t="s">
        <v>2699</v>
      </c>
      <c r="BZ472" s="83" t="s">
        <v>2693</v>
      </c>
      <c r="CA472" s="83" t="s">
        <v>2693</v>
      </c>
      <c r="CB472" s="83" t="s">
        <v>2694</v>
      </c>
      <c r="CC472" s="83" t="s">
        <v>2699</v>
      </c>
      <c r="CD472" s="83" t="s">
        <v>2696</v>
      </c>
      <c r="CF472" s="83" t="s">
        <v>2920</v>
      </c>
      <c r="CG472" s="83" t="s">
        <v>2921</v>
      </c>
      <c r="CH472" s="83" t="s">
        <v>2693</v>
      </c>
      <c r="CI472" s="83" t="s">
        <v>3992</v>
      </c>
      <c r="CJ472" s="83" t="s">
        <v>2701</v>
      </c>
      <c r="CK472" s="144">
        <v>1</v>
      </c>
      <c r="CL472"/>
    </row>
    <row r="473" spans="1:90">
      <c r="A473" s="83" t="s">
        <v>2917</v>
      </c>
      <c r="B473" s="83" t="s">
        <v>2918</v>
      </c>
      <c r="D473" s="83" t="s">
        <v>673</v>
      </c>
      <c r="E473" s="83" t="s">
        <v>2502</v>
      </c>
      <c r="F473" s="83" t="s">
        <v>2919</v>
      </c>
      <c r="G473" s="83" t="s">
        <v>2272</v>
      </c>
      <c r="H473" s="83" t="s">
        <v>1201</v>
      </c>
      <c r="I473" s="83" t="s">
        <v>1202</v>
      </c>
      <c r="J473" s="83" t="s">
        <v>1203</v>
      </c>
      <c r="K473" s="83" t="s">
        <v>565</v>
      </c>
      <c r="L473" s="83" t="s">
        <v>398</v>
      </c>
      <c r="M473" s="83" t="s">
        <v>399</v>
      </c>
      <c r="N473" s="83" t="s">
        <v>2899</v>
      </c>
      <c r="O473" s="83" t="s">
        <v>106</v>
      </c>
      <c r="P473" s="83">
        <v>5</v>
      </c>
      <c r="Q473" s="83" t="s">
        <v>106</v>
      </c>
      <c r="R473" s="83" t="s">
        <v>2727</v>
      </c>
      <c r="S473" s="83" t="s">
        <v>2720</v>
      </c>
      <c r="T473" s="83" t="s">
        <v>2843</v>
      </c>
      <c r="U473" s="83" t="s">
        <v>401</v>
      </c>
      <c r="AC473" s="83" t="s">
        <v>401</v>
      </c>
      <c r="AD473" s="83">
        <v>408000</v>
      </c>
      <c r="AF473" s="83">
        <v>0</v>
      </c>
      <c r="AJ473" s="83">
        <v>1</v>
      </c>
      <c r="AK473" s="83">
        <v>1</v>
      </c>
      <c r="AL473" s="83">
        <v>5520</v>
      </c>
      <c r="AM473" s="83" t="s">
        <v>2693</v>
      </c>
      <c r="BK473" s="83" t="s">
        <v>2694</v>
      </c>
      <c r="BL473" s="83" t="s">
        <v>2698</v>
      </c>
      <c r="BM473" s="83" t="s">
        <v>2693</v>
      </c>
      <c r="BN473" s="83" t="s">
        <v>2698</v>
      </c>
      <c r="BO473" s="83" t="s">
        <v>2697</v>
      </c>
      <c r="BP473" s="83" t="s">
        <v>2698</v>
      </c>
      <c r="BQ473" s="83" t="s">
        <v>2699</v>
      </c>
      <c r="BR473" s="83" t="s">
        <v>2693</v>
      </c>
      <c r="BS473" s="83" t="s">
        <v>2699</v>
      </c>
      <c r="BT473" s="83" t="s">
        <v>2696</v>
      </c>
      <c r="BU473" s="83" t="s">
        <v>2699</v>
      </c>
      <c r="BV473" s="83" t="s">
        <v>2696</v>
      </c>
      <c r="BW473" s="83" t="s">
        <v>2698</v>
      </c>
      <c r="BX473" s="83" t="s">
        <v>2696</v>
      </c>
      <c r="BY473" s="83" t="s">
        <v>2699</v>
      </c>
      <c r="BZ473" s="83" t="s">
        <v>2693</v>
      </c>
      <c r="CA473" s="83" t="s">
        <v>2693</v>
      </c>
      <c r="CB473" s="83" t="s">
        <v>2694</v>
      </c>
      <c r="CC473" s="83" t="s">
        <v>2699</v>
      </c>
      <c r="CD473" s="83" t="s">
        <v>2696</v>
      </c>
      <c r="CF473" s="83" t="s">
        <v>2922</v>
      </c>
      <c r="CG473" s="83" t="s">
        <v>2923</v>
      </c>
      <c r="CH473" s="83" t="s">
        <v>2725</v>
      </c>
      <c r="CI473" s="83" t="s">
        <v>1358</v>
      </c>
      <c r="CJ473" s="83" t="s">
        <v>2722</v>
      </c>
      <c r="CK473" s="144">
        <v>0</v>
      </c>
      <c r="CL473"/>
    </row>
    <row r="474" spans="1:90">
      <c r="A474" s="83" t="s">
        <v>1319</v>
      </c>
      <c r="B474" s="83" t="s">
        <v>2747</v>
      </c>
      <c r="D474" s="83" t="s">
        <v>688</v>
      </c>
      <c r="E474" s="83" t="s">
        <v>894</v>
      </c>
      <c r="F474" s="83" t="s">
        <v>1321</v>
      </c>
      <c r="G474" s="83" t="s">
        <v>1889</v>
      </c>
      <c r="H474" s="83" t="s">
        <v>1201</v>
      </c>
      <c r="I474" s="83" t="s">
        <v>1202</v>
      </c>
      <c r="J474" s="83" t="s">
        <v>1203</v>
      </c>
      <c r="K474" s="83" t="s">
        <v>565</v>
      </c>
      <c r="L474" s="83" t="s">
        <v>398</v>
      </c>
      <c r="M474" s="83" t="s">
        <v>399</v>
      </c>
      <c r="N474" s="83" t="s">
        <v>2709</v>
      </c>
      <c r="O474" s="83" t="s">
        <v>106</v>
      </c>
      <c r="P474" s="83">
        <v>4</v>
      </c>
      <c r="Q474" s="83" t="s">
        <v>106</v>
      </c>
      <c r="R474" s="83" t="s">
        <v>2691</v>
      </c>
      <c r="S474" s="83" t="s">
        <v>1457</v>
      </c>
      <c r="T474" s="83" t="s">
        <v>2703</v>
      </c>
      <c r="U474" s="83" t="s">
        <v>401</v>
      </c>
      <c r="AC474" s="83" t="s">
        <v>401</v>
      </c>
      <c r="AD474" s="83">
        <v>119000</v>
      </c>
      <c r="AF474" s="83">
        <v>3000</v>
      </c>
      <c r="AJ474" s="83">
        <v>1</v>
      </c>
      <c r="AK474" s="83">
        <v>1</v>
      </c>
      <c r="AL474" s="83">
        <v>860</v>
      </c>
      <c r="AM474" s="83" t="s">
        <v>2693</v>
      </c>
      <c r="BK474" s="83" t="s">
        <v>2694</v>
      </c>
      <c r="BL474" s="83" t="s">
        <v>2699</v>
      </c>
      <c r="BM474" s="83" t="s">
        <v>2697</v>
      </c>
      <c r="BN474" s="83" t="s">
        <v>2699</v>
      </c>
      <c r="BO474" s="83" t="s">
        <v>2693</v>
      </c>
      <c r="BP474" s="83" t="s">
        <v>2698</v>
      </c>
      <c r="BQ474" s="83" t="s">
        <v>2693</v>
      </c>
      <c r="BR474" s="83" t="s">
        <v>2693</v>
      </c>
      <c r="BS474" s="83" t="s">
        <v>2699</v>
      </c>
      <c r="BT474" s="83">
        <v>0</v>
      </c>
      <c r="BU474" s="83" t="s">
        <v>2699</v>
      </c>
      <c r="BV474" s="83" t="s">
        <v>2696</v>
      </c>
      <c r="BW474" s="83" t="s">
        <v>2699</v>
      </c>
      <c r="BX474" s="83" t="s">
        <v>2696</v>
      </c>
      <c r="BY474" s="83" t="s">
        <v>2699</v>
      </c>
      <c r="BZ474" s="83" t="s">
        <v>2696</v>
      </c>
      <c r="CA474" s="83" t="s">
        <v>2693</v>
      </c>
      <c r="CB474" s="83">
        <v>9</v>
      </c>
      <c r="CC474" s="83" t="s">
        <v>2696</v>
      </c>
      <c r="CD474" s="83" t="s">
        <v>2696</v>
      </c>
      <c r="CF474" s="83" t="s">
        <v>2127</v>
      </c>
      <c r="CG474" s="83" t="s">
        <v>1147</v>
      </c>
      <c r="CH474" s="83" t="s">
        <v>2693</v>
      </c>
      <c r="CI474" s="83" t="s">
        <v>3992</v>
      </c>
      <c r="CJ474" s="83" t="s">
        <v>2701</v>
      </c>
      <c r="CK474" s="144">
        <v>1</v>
      </c>
      <c r="CL474"/>
    </row>
    <row r="475" spans="1:90">
      <c r="A475" s="83" t="s">
        <v>3015</v>
      </c>
      <c r="B475" s="83" t="s">
        <v>2546</v>
      </c>
      <c r="D475" s="83" t="s">
        <v>688</v>
      </c>
      <c r="E475" s="83" t="s">
        <v>2545</v>
      </c>
      <c r="F475" s="83" t="s">
        <v>3016</v>
      </c>
      <c r="G475" s="83" t="s">
        <v>1320</v>
      </c>
      <c r="H475" s="83" t="s">
        <v>1201</v>
      </c>
      <c r="I475" s="83" t="s">
        <v>1202</v>
      </c>
      <c r="J475" s="83" t="s">
        <v>1203</v>
      </c>
      <c r="K475" s="83" t="s">
        <v>565</v>
      </c>
      <c r="L475" s="83" t="s">
        <v>398</v>
      </c>
      <c r="M475" s="83" t="s">
        <v>399</v>
      </c>
      <c r="N475" s="83" t="s">
        <v>3001</v>
      </c>
      <c r="O475" s="83" t="s">
        <v>106</v>
      </c>
      <c r="P475" s="83">
        <v>4</v>
      </c>
      <c r="Q475" s="83" t="s">
        <v>106</v>
      </c>
      <c r="R475" s="83" t="s">
        <v>2730</v>
      </c>
      <c r="S475" s="83" t="s">
        <v>1463</v>
      </c>
      <c r="T475" s="83" t="s">
        <v>2843</v>
      </c>
      <c r="U475" s="83" t="s">
        <v>401</v>
      </c>
      <c r="AC475" s="83" t="s">
        <v>401</v>
      </c>
      <c r="AD475" s="83">
        <v>226000</v>
      </c>
      <c r="AF475" s="83">
        <v>15000</v>
      </c>
      <c r="AJ475" s="83">
        <v>1</v>
      </c>
      <c r="AK475" s="83">
        <v>1</v>
      </c>
      <c r="AL475" s="83">
        <v>1480</v>
      </c>
      <c r="AM475" s="83" t="s">
        <v>2693</v>
      </c>
      <c r="BK475" s="83" t="s">
        <v>2694</v>
      </c>
      <c r="BL475" s="83">
        <v>2</v>
      </c>
      <c r="BM475" s="83" t="s">
        <v>2697</v>
      </c>
      <c r="BN475" s="83" t="s">
        <v>2698</v>
      </c>
      <c r="BO475" s="83" t="s">
        <v>2697</v>
      </c>
      <c r="BP475" s="83" t="s">
        <v>2698</v>
      </c>
      <c r="BQ475" s="83" t="s">
        <v>2699</v>
      </c>
      <c r="BR475" s="83" t="s">
        <v>2693</v>
      </c>
      <c r="BS475" s="83" t="s">
        <v>2699</v>
      </c>
      <c r="BT475" s="83" t="s">
        <v>2696</v>
      </c>
      <c r="BU475" s="83" t="s">
        <v>2699</v>
      </c>
      <c r="BV475" s="83" t="s">
        <v>2696</v>
      </c>
      <c r="BW475" s="83" t="s">
        <v>2698</v>
      </c>
      <c r="BX475" s="83" t="s">
        <v>2696</v>
      </c>
      <c r="BY475" s="83" t="s">
        <v>2699</v>
      </c>
      <c r="BZ475" s="83" t="s">
        <v>2693</v>
      </c>
      <c r="CA475" s="83" t="s">
        <v>2693</v>
      </c>
      <c r="CB475" s="83" t="s">
        <v>2694</v>
      </c>
      <c r="CC475" s="83" t="s">
        <v>2699</v>
      </c>
      <c r="CD475" s="83" t="s">
        <v>2696</v>
      </c>
      <c r="CF475" s="83" t="s">
        <v>3017</v>
      </c>
      <c r="CG475" s="83" t="s">
        <v>3018</v>
      </c>
      <c r="CH475" s="83" t="s">
        <v>2693</v>
      </c>
      <c r="CI475" s="83" t="s">
        <v>3992</v>
      </c>
      <c r="CJ475" s="83" t="s">
        <v>2701</v>
      </c>
      <c r="CK475" s="144">
        <v>0</v>
      </c>
      <c r="CL475" s="99">
        <v>1057000</v>
      </c>
    </row>
    <row r="476" spans="1:90">
      <c r="A476" s="83" t="s">
        <v>2748</v>
      </c>
      <c r="B476" s="83" t="s">
        <v>746</v>
      </c>
      <c r="D476" s="83" t="s">
        <v>688</v>
      </c>
      <c r="E476" s="83" t="s">
        <v>811</v>
      </c>
      <c r="F476" s="83" t="s">
        <v>2749</v>
      </c>
      <c r="G476" s="83" t="s">
        <v>1890</v>
      </c>
      <c r="H476" s="83" t="s">
        <v>1201</v>
      </c>
      <c r="I476" s="83" t="s">
        <v>1202</v>
      </c>
      <c r="J476" s="83" t="s">
        <v>1203</v>
      </c>
      <c r="K476" s="83" t="s">
        <v>565</v>
      </c>
      <c r="L476" s="83" t="s">
        <v>398</v>
      </c>
      <c r="M476" s="83" t="s">
        <v>399</v>
      </c>
      <c r="N476" s="83" t="s">
        <v>2735</v>
      </c>
      <c r="O476" s="83" t="s">
        <v>106</v>
      </c>
      <c r="P476" s="83">
        <v>4</v>
      </c>
      <c r="Q476" s="83" t="s">
        <v>106</v>
      </c>
      <c r="R476" s="83" t="s">
        <v>2727</v>
      </c>
      <c r="S476" s="83" t="s">
        <v>2720</v>
      </c>
      <c r="T476" s="83" t="s">
        <v>2703</v>
      </c>
      <c r="U476" s="83" t="s">
        <v>401</v>
      </c>
      <c r="AC476" s="83" t="s">
        <v>401</v>
      </c>
      <c r="AD476" s="83">
        <v>34000</v>
      </c>
      <c r="AF476" s="83">
        <v>0</v>
      </c>
      <c r="AJ476" s="83">
        <v>1</v>
      </c>
      <c r="AK476" s="83">
        <v>1</v>
      </c>
      <c r="AL476" s="83">
        <v>294</v>
      </c>
      <c r="AM476" s="83" t="s">
        <v>2693</v>
      </c>
      <c r="BK476" s="83" t="s">
        <v>2694</v>
      </c>
      <c r="BL476" s="83" t="s">
        <v>2704</v>
      </c>
      <c r="BM476" s="83" t="s">
        <v>2697</v>
      </c>
      <c r="BN476" s="83" t="s">
        <v>2699</v>
      </c>
      <c r="BO476" s="83" t="s">
        <v>2697</v>
      </c>
      <c r="BP476" s="83" t="s">
        <v>2695</v>
      </c>
      <c r="BQ476" s="83" t="s">
        <v>2693</v>
      </c>
      <c r="BR476" s="83" t="s">
        <v>2693</v>
      </c>
      <c r="BS476" s="83" t="s">
        <v>2699</v>
      </c>
      <c r="BT476" s="83">
        <v>0</v>
      </c>
      <c r="BU476" s="83" t="s">
        <v>2699</v>
      </c>
      <c r="BV476" s="83" t="s">
        <v>2696</v>
      </c>
      <c r="BW476" s="83" t="s">
        <v>2696</v>
      </c>
      <c r="BX476" s="83" t="s">
        <v>2696</v>
      </c>
      <c r="BY476" s="83" t="s">
        <v>2699</v>
      </c>
      <c r="BZ476" s="83" t="s">
        <v>2699</v>
      </c>
      <c r="CA476" s="83" t="s">
        <v>2699</v>
      </c>
      <c r="CB476" s="83">
        <v>9</v>
      </c>
      <c r="CC476" s="83" t="s">
        <v>2699</v>
      </c>
      <c r="CD476" s="83" t="s">
        <v>2696</v>
      </c>
      <c r="CF476" s="83" t="s">
        <v>2147</v>
      </c>
      <c r="CG476" s="83" t="s">
        <v>2148</v>
      </c>
      <c r="CH476" s="83" t="s">
        <v>2693</v>
      </c>
      <c r="CI476" s="83" t="s">
        <v>3992</v>
      </c>
      <c r="CJ476" s="83" t="s">
        <v>2701</v>
      </c>
      <c r="CK476" s="144">
        <v>1</v>
      </c>
      <c r="CL476"/>
    </row>
    <row r="477" spans="1:90">
      <c r="A477" s="83" t="s">
        <v>1585</v>
      </c>
      <c r="B477" s="83" t="s">
        <v>1655</v>
      </c>
      <c r="D477" s="83" t="s">
        <v>688</v>
      </c>
      <c r="E477" s="83" t="s">
        <v>894</v>
      </c>
      <c r="F477" s="83" t="s">
        <v>1780</v>
      </c>
      <c r="G477" s="83" t="s">
        <v>1891</v>
      </c>
      <c r="H477" s="83" t="s">
        <v>1201</v>
      </c>
      <c r="I477" s="83" t="s">
        <v>1202</v>
      </c>
      <c r="J477" s="83" t="s">
        <v>1203</v>
      </c>
      <c r="K477" s="83" t="s">
        <v>565</v>
      </c>
      <c r="L477" s="83" t="s">
        <v>398</v>
      </c>
      <c r="M477" s="83" t="s">
        <v>399</v>
      </c>
      <c r="N477" s="83" t="s">
        <v>2711</v>
      </c>
      <c r="O477" s="83" t="s">
        <v>106</v>
      </c>
      <c r="P477" s="83">
        <v>4</v>
      </c>
      <c r="Q477" s="83" t="s">
        <v>106</v>
      </c>
      <c r="R477" s="83" t="s">
        <v>2691</v>
      </c>
      <c r="S477" s="83" t="s">
        <v>1446</v>
      </c>
      <c r="T477" s="83" t="s">
        <v>2703</v>
      </c>
      <c r="U477" s="83" t="s">
        <v>401</v>
      </c>
      <c r="AC477" s="83" t="s">
        <v>401</v>
      </c>
      <c r="AD477" s="83">
        <v>110000</v>
      </c>
      <c r="AF477" s="83">
        <v>2000</v>
      </c>
      <c r="AJ477" s="83">
        <v>1</v>
      </c>
      <c r="AK477" s="83">
        <v>1</v>
      </c>
      <c r="AL477" s="83">
        <v>648</v>
      </c>
      <c r="AM477" s="83" t="s">
        <v>2693</v>
      </c>
      <c r="BK477" s="83" t="s">
        <v>2694</v>
      </c>
      <c r="BL477" s="83" t="s">
        <v>2699</v>
      </c>
      <c r="BM477" s="83" t="s">
        <v>2698</v>
      </c>
      <c r="BN477" s="83" t="s">
        <v>2699</v>
      </c>
      <c r="BO477" s="83" t="s">
        <v>2697</v>
      </c>
      <c r="BP477" s="83" t="s">
        <v>2696</v>
      </c>
      <c r="BQ477" s="83" t="s">
        <v>2696</v>
      </c>
      <c r="BR477" s="83" t="s">
        <v>2693</v>
      </c>
      <c r="BS477" s="83" t="s">
        <v>2699</v>
      </c>
      <c r="BT477" s="83">
        <v>0</v>
      </c>
      <c r="BU477" s="83" t="s">
        <v>2699</v>
      </c>
      <c r="BV477" s="83" t="s">
        <v>2696</v>
      </c>
      <c r="BW477" s="83" t="s">
        <v>2698</v>
      </c>
      <c r="BX477" s="83" t="s">
        <v>2696</v>
      </c>
      <c r="BY477" s="83" t="s">
        <v>2699</v>
      </c>
      <c r="BZ477" s="83" t="s">
        <v>2699</v>
      </c>
      <c r="CA477" s="83" t="s">
        <v>2693</v>
      </c>
      <c r="CB477" s="83">
        <v>9</v>
      </c>
      <c r="CC477" s="83" t="s">
        <v>2699</v>
      </c>
      <c r="CD477" s="83" t="s">
        <v>2696</v>
      </c>
      <c r="CF477" s="83" t="s">
        <v>2189</v>
      </c>
      <c r="CG477" s="83" t="s">
        <v>2190</v>
      </c>
      <c r="CH477" s="83" t="s">
        <v>2693</v>
      </c>
      <c r="CI477" s="83" t="s">
        <v>3992</v>
      </c>
      <c r="CJ477" s="83" t="s">
        <v>2701</v>
      </c>
      <c r="CK477" s="144">
        <v>0</v>
      </c>
      <c r="CL477" s="99">
        <v>173000</v>
      </c>
    </row>
    <row r="478" spans="1:90">
      <c r="A478" s="83" t="s">
        <v>1585</v>
      </c>
      <c r="B478" s="83" t="s">
        <v>1655</v>
      </c>
      <c r="D478" s="83" t="s">
        <v>673</v>
      </c>
      <c r="E478" s="83" t="s">
        <v>2423</v>
      </c>
      <c r="F478" s="83" t="s">
        <v>1780</v>
      </c>
      <c r="G478" s="83" t="s">
        <v>1891</v>
      </c>
      <c r="H478" s="83" t="s">
        <v>1201</v>
      </c>
      <c r="I478" s="83" t="s">
        <v>1202</v>
      </c>
      <c r="J478" s="83" t="s">
        <v>1203</v>
      </c>
      <c r="K478" s="83" t="s">
        <v>565</v>
      </c>
      <c r="L478" s="83" t="s">
        <v>398</v>
      </c>
      <c r="M478" s="83" t="s">
        <v>399</v>
      </c>
      <c r="N478" s="83" t="s">
        <v>2711</v>
      </c>
      <c r="O478" s="83" t="s">
        <v>106</v>
      </c>
      <c r="P478" s="83">
        <v>4</v>
      </c>
      <c r="Q478" s="83" t="s">
        <v>106</v>
      </c>
      <c r="R478" s="83" t="s">
        <v>2727</v>
      </c>
      <c r="S478" s="83" t="s">
        <v>1446</v>
      </c>
      <c r="T478" s="83" t="s">
        <v>2703</v>
      </c>
      <c r="U478" s="83" t="s">
        <v>401</v>
      </c>
      <c r="AC478" s="83" t="s">
        <v>401</v>
      </c>
      <c r="AD478" s="83">
        <v>56000</v>
      </c>
      <c r="AF478" s="83">
        <v>22000</v>
      </c>
      <c r="AJ478" s="83">
        <v>1</v>
      </c>
      <c r="AK478" s="83">
        <v>1</v>
      </c>
      <c r="AL478" s="83">
        <v>858</v>
      </c>
      <c r="AM478" s="83" t="s">
        <v>2693</v>
      </c>
      <c r="BK478" s="83" t="s">
        <v>2694</v>
      </c>
      <c r="BL478" s="83" t="s">
        <v>2699</v>
      </c>
      <c r="BM478" s="83" t="s">
        <v>2698</v>
      </c>
      <c r="BN478" s="83" t="s">
        <v>2699</v>
      </c>
      <c r="BO478" s="83" t="s">
        <v>2697</v>
      </c>
      <c r="BP478" s="83" t="s">
        <v>2696</v>
      </c>
      <c r="BQ478" s="83" t="s">
        <v>2696</v>
      </c>
      <c r="BR478" s="83" t="s">
        <v>2693</v>
      </c>
      <c r="BS478" s="83" t="s">
        <v>2699</v>
      </c>
      <c r="BT478" s="83">
        <v>0</v>
      </c>
      <c r="BU478" s="83" t="s">
        <v>2699</v>
      </c>
      <c r="BV478" s="83" t="s">
        <v>2696</v>
      </c>
      <c r="BW478" s="83" t="s">
        <v>2698</v>
      </c>
      <c r="BX478" s="83" t="s">
        <v>2696</v>
      </c>
      <c r="BY478" s="83" t="s">
        <v>2699</v>
      </c>
      <c r="BZ478" s="83" t="s">
        <v>2699</v>
      </c>
      <c r="CA478" s="83" t="s">
        <v>2693</v>
      </c>
      <c r="CB478" s="83">
        <v>9</v>
      </c>
      <c r="CC478" s="83" t="s">
        <v>2699</v>
      </c>
      <c r="CD478" s="83" t="s">
        <v>2696</v>
      </c>
      <c r="CF478" s="83" t="s">
        <v>2191</v>
      </c>
      <c r="CG478" s="83" t="s">
        <v>2192</v>
      </c>
      <c r="CH478" s="83" t="s">
        <v>2693</v>
      </c>
      <c r="CI478" s="83" t="s">
        <v>3992</v>
      </c>
      <c r="CJ478" s="83" t="s">
        <v>2701</v>
      </c>
      <c r="CK478" s="144">
        <v>0</v>
      </c>
      <c r="CL478"/>
    </row>
    <row r="479" spans="1:90">
      <c r="A479" s="83" t="s">
        <v>1477</v>
      </c>
      <c r="B479" s="83" t="s">
        <v>1656</v>
      </c>
      <c r="D479" s="83" t="s">
        <v>688</v>
      </c>
      <c r="E479" s="83" t="s">
        <v>2628</v>
      </c>
      <c r="F479" s="83" t="s">
        <v>1781</v>
      </c>
      <c r="G479" s="83" t="s">
        <v>1892</v>
      </c>
      <c r="H479" s="83" t="s">
        <v>1201</v>
      </c>
      <c r="I479" s="83" t="s">
        <v>1202</v>
      </c>
      <c r="J479" s="83" t="s">
        <v>1203</v>
      </c>
      <c r="K479" s="83" t="s">
        <v>565</v>
      </c>
      <c r="L479" s="83" t="s">
        <v>398</v>
      </c>
      <c r="M479" s="83" t="s">
        <v>399</v>
      </c>
      <c r="N479" s="83" t="s">
        <v>2750</v>
      </c>
      <c r="O479" s="83" t="s">
        <v>106</v>
      </c>
      <c r="P479" s="83">
        <v>4</v>
      </c>
      <c r="Q479" s="83" t="s">
        <v>106</v>
      </c>
      <c r="R479" s="83" t="s">
        <v>2727</v>
      </c>
      <c r="S479" s="83" t="s">
        <v>2720</v>
      </c>
      <c r="T479" s="83" t="s">
        <v>2703</v>
      </c>
      <c r="U479" s="83" t="s">
        <v>401</v>
      </c>
      <c r="AC479" s="83" t="s">
        <v>401</v>
      </c>
      <c r="AD479" s="83">
        <v>64000</v>
      </c>
      <c r="AF479" s="83">
        <v>2000</v>
      </c>
      <c r="AJ479" s="83">
        <v>1</v>
      </c>
      <c r="AK479" s="83">
        <v>1</v>
      </c>
      <c r="AL479" s="83">
        <v>494</v>
      </c>
      <c r="AM479" s="83" t="s">
        <v>2693</v>
      </c>
      <c r="BK479" s="83" t="s">
        <v>2694</v>
      </c>
      <c r="BL479" s="83" t="s">
        <v>2699</v>
      </c>
      <c r="BM479" s="83" t="s">
        <v>2698</v>
      </c>
      <c r="BN479" s="83" t="s">
        <v>2697</v>
      </c>
      <c r="BO479" s="83" t="s">
        <v>2697</v>
      </c>
      <c r="BP479" s="83" t="s">
        <v>2695</v>
      </c>
      <c r="BQ479" s="83" t="s">
        <v>2693</v>
      </c>
      <c r="BR479" s="83" t="s">
        <v>2693</v>
      </c>
      <c r="BS479" s="83" t="s">
        <v>2699</v>
      </c>
      <c r="BT479" s="83">
        <v>0</v>
      </c>
      <c r="BU479" s="83" t="s">
        <v>2699</v>
      </c>
      <c r="BV479" s="83" t="s">
        <v>2696</v>
      </c>
      <c r="BW479" s="83" t="s">
        <v>2698</v>
      </c>
      <c r="BX479" s="83" t="s">
        <v>2696</v>
      </c>
      <c r="BY479" s="83" t="s">
        <v>2699</v>
      </c>
      <c r="BZ479" s="83" t="s">
        <v>2699</v>
      </c>
      <c r="CA479" s="83" t="s">
        <v>2693</v>
      </c>
      <c r="CB479" s="83">
        <v>9</v>
      </c>
      <c r="CC479" s="83" t="s">
        <v>2696</v>
      </c>
      <c r="CD479" s="83" t="s">
        <v>2696</v>
      </c>
      <c r="CF479" s="83" t="s">
        <v>2242</v>
      </c>
      <c r="CG479" s="83" t="s">
        <v>2243</v>
      </c>
      <c r="CH479" s="83" t="s">
        <v>2693</v>
      </c>
      <c r="CI479" s="83" t="s">
        <v>3992</v>
      </c>
      <c r="CJ479" s="83" t="s">
        <v>2701</v>
      </c>
      <c r="CK479" s="144">
        <v>0</v>
      </c>
      <c r="CL479"/>
    </row>
    <row r="480" spans="1:90">
      <c r="A480" s="83" t="s">
        <v>1477</v>
      </c>
      <c r="B480" s="83" t="s">
        <v>1656</v>
      </c>
      <c r="D480" s="83" t="s">
        <v>673</v>
      </c>
      <c r="E480" s="83" t="s">
        <v>2629</v>
      </c>
      <c r="F480" s="83" t="s">
        <v>1781</v>
      </c>
      <c r="G480" s="83" t="s">
        <v>1892</v>
      </c>
      <c r="H480" s="83" t="s">
        <v>1201</v>
      </c>
      <c r="I480" s="83" t="s">
        <v>1202</v>
      </c>
      <c r="J480" s="83" t="s">
        <v>1203</v>
      </c>
      <c r="K480" s="83" t="s">
        <v>565</v>
      </c>
      <c r="L480" s="83" t="s">
        <v>398</v>
      </c>
      <c r="M480" s="83" t="s">
        <v>399</v>
      </c>
      <c r="N480" s="83" t="s">
        <v>2750</v>
      </c>
      <c r="O480" s="83" t="s">
        <v>106</v>
      </c>
      <c r="P480" s="83">
        <v>4</v>
      </c>
      <c r="Q480" s="83" t="s">
        <v>106</v>
      </c>
      <c r="R480" s="83" t="s">
        <v>2727</v>
      </c>
      <c r="S480" s="83" t="s">
        <v>2720</v>
      </c>
      <c r="T480" s="83" t="s">
        <v>2703</v>
      </c>
      <c r="U480" s="83" t="s">
        <v>401</v>
      </c>
      <c r="AC480" s="83" t="s">
        <v>401</v>
      </c>
      <c r="AD480" s="83">
        <v>64000</v>
      </c>
      <c r="AF480" s="83">
        <v>2000</v>
      </c>
      <c r="AJ480" s="83">
        <v>1</v>
      </c>
      <c r="AK480" s="83">
        <v>1</v>
      </c>
      <c r="AL480" s="83">
        <v>494</v>
      </c>
      <c r="AM480" s="83" t="s">
        <v>2693</v>
      </c>
      <c r="BK480" s="83" t="s">
        <v>2694</v>
      </c>
      <c r="BL480" s="83" t="s">
        <v>2699</v>
      </c>
      <c r="BM480" s="83" t="s">
        <v>2698</v>
      </c>
      <c r="BN480" s="83" t="s">
        <v>2697</v>
      </c>
      <c r="BO480" s="83" t="s">
        <v>2697</v>
      </c>
      <c r="BP480" s="83" t="s">
        <v>2695</v>
      </c>
      <c r="BQ480" s="83" t="s">
        <v>2693</v>
      </c>
      <c r="BR480" s="83" t="s">
        <v>2693</v>
      </c>
      <c r="BS480" s="83" t="s">
        <v>2699</v>
      </c>
      <c r="BT480" s="83">
        <v>0</v>
      </c>
      <c r="BU480" s="83" t="s">
        <v>2699</v>
      </c>
      <c r="BV480" s="83" t="s">
        <v>2696</v>
      </c>
      <c r="BW480" s="83" t="s">
        <v>2698</v>
      </c>
      <c r="BX480" s="83" t="s">
        <v>2696</v>
      </c>
      <c r="BY480" s="83" t="s">
        <v>2699</v>
      </c>
      <c r="BZ480" s="83" t="s">
        <v>2699</v>
      </c>
      <c r="CA480" s="83" t="s">
        <v>2693</v>
      </c>
      <c r="CB480" s="83">
        <v>9</v>
      </c>
      <c r="CC480" s="83" t="s">
        <v>2696</v>
      </c>
      <c r="CD480" s="83" t="s">
        <v>2696</v>
      </c>
      <c r="CF480" s="83" t="s">
        <v>2240</v>
      </c>
      <c r="CG480" s="83" t="s">
        <v>2241</v>
      </c>
      <c r="CH480" s="83" t="s">
        <v>2693</v>
      </c>
      <c r="CI480" s="83" t="s">
        <v>3992</v>
      </c>
      <c r="CJ480" s="83" t="s">
        <v>2701</v>
      </c>
      <c r="CK480" s="144">
        <v>0</v>
      </c>
      <c r="CL480"/>
    </row>
    <row r="481" spans="1:90">
      <c r="A481" s="83" t="s">
        <v>3153</v>
      </c>
      <c r="B481" s="83" t="s">
        <v>972</v>
      </c>
      <c r="D481" s="83" t="s">
        <v>688</v>
      </c>
      <c r="E481" s="83" t="s">
        <v>2544</v>
      </c>
      <c r="F481" s="83" t="s">
        <v>3154</v>
      </c>
      <c r="G481" s="83" t="s">
        <v>971</v>
      </c>
      <c r="H481" s="83" t="s">
        <v>1201</v>
      </c>
      <c r="I481" s="83" t="s">
        <v>1202</v>
      </c>
      <c r="J481" s="83" t="s">
        <v>1203</v>
      </c>
      <c r="K481" s="83" t="s">
        <v>565</v>
      </c>
      <c r="L481" s="83" t="s">
        <v>398</v>
      </c>
      <c r="M481" s="83" t="s">
        <v>399</v>
      </c>
      <c r="N481" s="83" t="s">
        <v>3152</v>
      </c>
      <c r="O481" s="83" t="s">
        <v>106</v>
      </c>
      <c r="P481" s="83">
        <v>1</v>
      </c>
      <c r="Q481" s="83" t="s">
        <v>106</v>
      </c>
      <c r="R481" s="83" t="s">
        <v>2699</v>
      </c>
      <c r="S481" s="83" t="s">
        <v>2712</v>
      </c>
      <c r="T481" s="83" t="s">
        <v>2712</v>
      </c>
      <c r="U481" s="83" t="s">
        <v>401</v>
      </c>
      <c r="AC481" s="83" t="s">
        <v>401</v>
      </c>
      <c r="AD481" s="83">
        <v>218000</v>
      </c>
      <c r="AF481" s="83">
        <v>0</v>
      </c>
      <c r="AJ481" s="83">
        <v>1</v>
      </c>
      <c r="AK481" s="83">
        <v>1</v>
      </c>
      <c r="AL481" s="83">
        <v>2142</v>
      </c>
      <c r="AM481" s="83" t="s">
        <v>2693</v>
      </c>
      <c r="BK481" s="83" t="s">
        <v>2694</v>
      </c>
      <c r="BL481" s="83" t="s">
        <v>2693</v>
      </c>
      <c r="BM481" s="83" t="s">
        <v>2725</v>
      </c>
      <c r="BN481" s="83" t="s">
        <v>2696</v>
      </c>
      <c r="BO481" s="83" t="s">
        <v>2697</v>
      </c>
      <c r="BP481" s="83" t="s">
        <v>2698</v>
      </c>
      <c r="BQ481" s="83" t="s">
        <v>2699</v>
      </c>
      <c r="BR481" s="83" t="s">
        <v>2693</v>
      </c>
      <c r="BS481" s="83" t="s">
        <v>2699</v>
      </c>
      <c r="BT481" s="83" t="s">
        <v>2696</v>
      </c>
      <c r="BU481" s="83">
        <v>1</v>
      </c>
      <c r="BV481" s="83" t="s">
        <v>2696</v>
      </c>
      <c r="BW481" s="83" t="s">
        <v>2697</v>
      </c>
      <c r="BX481" s="83" t="s">
        <v>2696</v>
      </c>
      <c r="BY481" s="83" t="s">
        <v>2699</v>
      </c>
      <c r="BZ481" s="83" t="s">
        <v>2693</v>
      </c>
      <c r="CA481" s="83" t="s">
        <v>2699</v>
      </c>
      <c r="CB481" s="83">
        <v>8</v>
      </c>
      <c r="CC481" s="83" t="s">
        <v>2699</v>
      </c>
      <c r="CD481" s="83" t="s">
        <v>2699</v>
      </c>
      <c r="CF481" s="83" t="s">
        <v>3155</v>
      </c>
      <c r="CG481" s="83" t="s">
        <v>3156</v>
      </c>
      <c r="CH481" s="83" t="s">
        <v>2699</v>
      </c>
      <c r="CI481" s="83" t="s">
        <v>2699</v>
      </c>
      <c r="CJ481" s="83" t="s">
        <v>2734</v>
      </c>
      <c r="CK481" s="144">
        <v>4</v>
      </c>
      <c r="CL481" s="99">
        <v>765000</v>
      </c>
    </row>
    <row r="482" spans="1:90">
      <c r="A482" s="83" t="s">
        <v>3153</v>
      </c>
      <c r="B482" s="83" t="s">
        <v>972</v>
      </c>
      <c r="D482" s="83" t="s">
        <v>673</v>
      </c>
      <c r="E482" s="83" t="s">
        <v>894</v>
      </c>
      <c r="F482" s="83" t="s">
        <v>3154</v>
      </c>
      <c r="G482" s="83" t="s">
        <v>971</v>
      </c>
      <c r="H482" s="83" t="s">
        <v>1201</v>
      </c>
      <c r="I482" s="83" t="s">
        <v>1202</v>
      </c>
      <c r="J482" s="83" t="s">
        <v>1203</v>
      </c>
      <c r="K482" s="83" t="s">
        <v>565</v>
      </c>
      <c r="L482" s="83" t="s">
        <v>398</v>
      </c>
      <c r="M482" s="83" t="s">
        <v>399</v>
      </c>
      <c r="N482" s="83" t="s">
        <v>3152</v>
      </c>
      <c r="O482" s="83" t="s">
        <v>106</v>
      </c>
      <c r="P482" s="83">
        <v>1</v>
      </c>
      <c r="Q482" s="83" t="s">
        <v>106</v>
      </c>
      <c r="R482" s="83" t="s">
        <v>2727</v>
      </c>
      <c r="S482" s="83" t="s">
        <v>2714</v>
      </c>
      <c r="T482" s="83" t="s">
        <v>2703</v>
      </c>
      <c r="U482" s="83" t="s">
        <v>401</v>
      </c>
      <c r="AC482" s="83" t="s">
        <v>401</v>
      </c>
      <c r="AD482" s="83">
        <v>43000</v>
      </c>
      <c r="AF482" s="83">
        <v>2000</v>
      </c>
      <c r="AJ482" s="83">
        <v>1</v>
      </c>
      <c r="AK482" s="83">
        <v>1</v>
      </c>
      <c r="AL482" s="83">
        <v>476</v>
      </c>
      <c r="AM482" s="83" t="s">
        <v>2693</v>
      </c>
      <c r="BK482" s="83" t="s">
        <v>2694</v>
      </c>
      <c r="BL482" s="83" t="s">
        <v>2693</v>
      </c>
      <c r="BM482" s="83" t="s">
        <v>2698</v>
      </c>
      <c r="BN482" s="83" t="s">
        <v>2696</v>
      </c>
      <c r="BO482" s="83" t="s">
        <v>2697</v>
      </c>
      <c r="BP482" s="83" t="s">
        <v>2698</v>
      </c>
      <c r="BQ482" s="83" t="s">
        <v>2699</v>
      </c>
      <c r="BR482" s="83" t="s">
        <v>2693</v>
      </c>
      <c r="BS482" s="83" t="s">
        <v>2699</v>
      </c>
      <c r="BT482" s="83" t="s">
        <v>2696</v>
      </c>
      <c r="BU482" s="83">
        <v>1</v>
      </c>
      <c r="BV482" s="83" t="s">
        <v>2696</v>
      </c>
      <c r="BW482" s="83" t="s">
        <v>2697</v>
      </c>
      <c r="BX482" s="83" t="s">
        <v>2696</v>
      </c>
      <c r="BY482" s="83" t="s">
        <v>2699</v>
      </c>
      <c r="BZ482" s="83" t="s">
        <v>2699</v>
      </c>
      <c r="CA482" s="83" t="s">
        <v>2699</v>
      </c>
      <c r="CB482" s="83">
        <v>9</v>
      </c>
      <c r="CC482" s="83" t="s">
        <v>2699</v>
      </c>
      <c r="CD482" s="83" t="s">
        <v>2696</v>
      </c>
      <c r="CF482" s="83" t="s">
        <v>3682</v>
      </c>
      <c r="CG482" s="83" t="s">
        <v>3683</v>
      </c>
      <c r="CH482" s="83" t="s">
        <v>2699</v>
      </c>
      <c r="CI482" s="83" t="s">
        <v>2699</v>
      </c>
      <c r="CJ482" s="83" t="s">
        <v>2734</v>
      </c>
      <c r="CK482" s="144">
        <v>0</v>
      </c>
      <c r="CL482"/>
    </row>
    <row r="483" spans="1:90">
      <c r="A483" s="83" t="s">
        <v>3153</v>
      </c>
      <c r="B483" s="83" t="s">
        <v>972</v>
      </c>
      <c r="D483" s="83" t="s">
        <v>714</v>
      </c>
      <c r="E483" s="83" t="s">
        <v>2609</v>
      </c>
      <c r="F483" s="83" t="s">
        <v>3154</v>
      </c>
      <c r="G483" s="83" t="s">
        <v>971</v>
      </c>
      <c r="H483" s="83" t="s">
        <v>1201</v>
      </c>
      <c r="I483" s="83" t="s">
        <v>1202</v>
      </c>
      <c r="J483" s="83" t="s">
        <v>1203</v>
      </c>
      <c r="K483" s="83" t="s">
        <v>565</v>
      </c>
      <c r="L483" s="83" t="s">
        <v>398</v>
      </c>
      <c r="M483" s="83" t="s">
        <v>399</v>
      </c>
      <c r="N483" s="83" t="s">
        <v>3152</v>
      </c>
      <c r="O483" s="83" t="s">
        <v>106</v>
      </c>
      <c r="P483" s="83">
        <v>1</v>
      </c>
      <c r="Q483" s="83" t="s">
        <v>106</v>
      </c>
      <c r="R483" s="83" t="s">
        <v>2699</v>
      </c>
      <c r="S483" s="83" t="s">
        <v>2712</v>
      </c>
      <c r="T483" s="83" t="s">
        <v>2712</v>
      </c>
      <c r="U483" s="83" t="s">
        <v>401</v>
      </c>
      <c r="AC483" s="83" t="s">
        <v>401</v>
      </c>
      <c r="AD483" s="83">
        <v>122000</v>
      </c>
      <c r="AF483" s="83">
        <v>0</v>
      </c>
      <c r="AJ483" s="83">
        <v>1</v>
      </c>
      <c r="AK483" s="83">
        <v>1</v>
      </c>
      <c r="AL483" s="83">
        <v>1323</v>
      </c>
      <c r="AM483" s="83" t="s">
        <v>2693</v>
      </c>
      <c r="BK483" s="83" t="s">
        <v>2694</v>
      </c>
      <c r="BL483" s="83" t="s">
        <v>2693</v>
      </c>
      <c r="BM483" s="83" t="s">
        <v>2725</v>
      </c>
      <c r="BN483" s="83" t="s">
        <v>2696</v>
      </c>
      <c r="BO483" s="83" t="s">
        <v>2697</v>
      </c>
      <c r="BP483" s="83" t="s">
        <v>2698</v>
      </c>
      <c r="BQ483" s="83" t="s">
        <v>2699</v>
      </c>
      <c r="BR483" s="83" t="s">
        <v>2693</v>
      </c>
      <c r="BS483" s="83" t="s">
        <v>2699</v>
      </c>
      <c r="BT483" s="83" t="s">
        <v>2696</v>
      </c>
      <c r="BU483" s="83">
        <v>1</v>
      </c>
      <c r="BV483" s="83" t="s">
        <v>2696</v>
      </c>
      <c r="BW483" s="83" t="s">
        <v>2697</v>
      </c>
      <c r="BX483" s="83" t="s">
        <v>2696</v>
      </c>
      <c r="BY483" s="83" t="s">
        <v>2699</v>
      </c>
      <c r="BZ483" s="83" t="s">
        <v>2699</v>
      </c>
      <c r="CA483" s="83" t="s">
        <v>2699</v>
      </c>
      <c r="CB483" s="83">
        <v>8</v>
      </c>
      <c r="CC483" s="83" t="s">
        <v>2699</v>
      </c>
      <c r="CD483" s="83" t="s">
        <v>2696</v>
      </c>
      <c r="CF483" s="83" t="s">
        <v>3684</v>
      </c>
      <c r="CG483" s="83" t="s">
        <v>3685</v>
      </c>
      <c r="CH483" s="83" t="s">
        <v>2699</v>
      </c>
      <c r="CI483" s="83" t="s">
        <v>2699</v>
      </c>
      <c r="CJ483" s="83" t="s">
        <v>2734</v>
      </c>
      <c r="CK483" s="144">
        <v>0</v>
      </c>
      <c r="CL483"/>
    </row>
    <row r="484" spans="1:90">
      <c r="A484" s="83" t="s">
        <v>1586</v>
      </c>
      <c r="B484" s="83" t="s">
        <v>1657</v>
      </c>
      <c r="D484" s="83" t="s">
        <v>688</v>
      </c>
      <c r="E484" s="83" t="s">
        <v>894</v>
      </c>
      <c r="F484" s="83" t="s">
        <v>1782</v>
      </c>
      <c r="G484" s="83" t="s">
        <v>1893</v>
      </c>
      <c r="H484" s="83" t="s">
        <v>1201</v>
      </c>
      <c r="I484" s="83" t="s">
        <v>1202</v>
      </c>
      <c r="J484" s="83" t="s">
        <v>1203</v>
      </c>
      <c r="K484" s="83" t="s">
        <v>565</v>
      </c>
      <c r="L484" s="83" t="s">
        <v>398</v>
      </c>
      <c r="M484" s="83" t="s">
        <v>399</v>
      </c>
      <c r="N484" s="83" t="s">
        <v>2719</v>
      </c>
      <c r="O484" s="83" t="s">
        <v>106</v>
      </c>
      <c r="P484" s="83">
        <v>8</v>
      </c>
      <c r="Q484" s="83" t="s">
        <v>106</v>
      </c>
      <c r="R484" s="83" t="s">
        <v>2691</v>
      </c>
      <c r="S484" s="83" t="s">
        <v>2751</v>
      </c>
      <c r="T484" s="83" t="s">
        <v>2703</v>
      </c>
      <c r="U484" s="83" t="s">
        <v>401</v>
      </c>
      <c r="AC484" s="83" t="s">
        <v>401</v>
      </c>
      <c r="AD484" s="83">
        <v>171000</v>
      </c>
      <c r="AF484" s="83">
        <v>3000</v>
      </c>
      <c r="AJ484" s="83">
        <v>1</v>
      </c>
      <c r="AK484" s="83">
        <v>1</v>
      </c>
      <c r="AL484" s="83">
        <v>910</v>
      </c>
      <c r="AM484" s="83" t="s">
        <v>2693</v>
      </c>
      <c r="BK484" s="83" t="s">
        <v>2694</v>
      </c>
      <c r="BL484" s="83" t="s">
        <v>2697</v>
      </c>
      <c r="BM484" s="83" t="s">
        <v>2693</v>
      </c>
      <c r="BN484" s="83" t="s">
        <v>2696</v>
      </c>
      <c r="BO484" s="83" t="s">
        <v>2697</v>
      </c>
      <c r="BP484" s="83" t="s">
        <v>2697</v>
      </c>
      <c r="BQ484" s="83" t="s">
        <v>2693</v>
      </c>
      <c r="BR484" s="83" t="s">
        <v>2693</v>
      </c>
      <c r="BS484" s="83" t="s">
        <v>2699</v>
      </c>
      <c r="BT484" s="83">
        <v>0</v>
      </c>
      <c r="BU484" s="83" t="s">
        <v>2699</v>
      </c>
      <c r="BV484" s="83" t="s">
        <v>2696</v>
      </c>
      <c r="BW484" s="83" t="s">
        <v>2699</v>
      </c>
      <c r="BX484" s="83" t="s">
        <v>2696</v>
      </c>
      <c r="BY484" s="83" t="s">
        <v>2699</v>
      </c>
      <c r="BZ484" s="83" t="s">
        <v>2696</v>
      </c>
      <c r="CA484" s="83" t="s">
        <v>2693</v>
      </c>
      <c r="CB484" s="83">
        <v>9</v>
      </c>
      <c r="CC484" s="83" t="s">
        <v>2699</v>
      </c>
      <c r="CD484" s="83" t="s">
        <v>2696</v>
      </c>
      <c r="CF484" s="83" t="s">
        <v>2193</v>
      </c>
      <c r="CG484" s="83" t="s">
        <v>2194</v>
      </c>
      <c r="CH484" s="83" t="s">
        <v>2695</v>
      </c>
      <c r="CI484" s="83" t="s">
        <v>648</v>
      </c>
      <c r="CJ484" s="83" t="s">
        <v>2731</v>
      </c>
      <c r="CK484" s="144">
        <v>0</v>
      </c>
      <c r="CL484" s="99">
        <v>39000</v>
      </c>
    </row>
    <row r="485" spans="1:90">
      <c r="A485" s="83" t="s">
        <v>1586</v>
      </c>
      <c r="B485" s="83" t="s">
        <v>1657</v>
      </c>
      <c r="D485" s="83" t="s">
        <v>673</v>
      </c>
      <c r="E485" s="83" t="s">
        <v>1676</v>
      </c>
      <c r="F485" s="83" t="s">
        <v>1782</v>
      </c>
      <c r="G485" s="83" t="s">
        <v>1893</v>
      </c>
      <c r="H485" s="83" t="s">
        <v>1201</v>
      </c>
      <c r="I485" s="83" t="s">
        <v>1202</v>
      </c>
      <c r="J485" s="83" t="s">
        <v>1203</v>
      </c>
      <c r="K485" s="83" t="s">
        <v>565</v>
      </c>
      <c r="L485" s="83" t="s">
        <v>398</v>
      </c>
      <c r="M485" s="83" t="s">
        <v>399</v>
      </c>
      <c r="N485" s="83" t="s">
        <v>2719</v>
      </c>
      <c r="O485" s="83" t="s">
        <v>106</v>
      </c>
      <c r="P485" s="83">
        <v>5</v>
      </c>
      <c r="Q485" s="83" t="s">
        <v>106</v>
      </c>
      <c r="R485" s="83" t="s">
        <v>2691</v>
      </c>
      <c r="S485" s="83" t="s">
        <v>2751</v>
      </c>
      <c r="T485" s="83" t="s">
        <v>2703</v>
      </c>
      <c r="U485" s="83" t="s">
        <v>401</v>
      </c>
      <c r="AC485" s="83" t="s">
        <v>401</v>
      </c>
      <c r="AD485" s="83">
        <v>70000</v>
      </c>
      <c r="AF485" s="83">
        <v>77000</v>
      </c>
      <c r="AJ485" s="83">
        <v>1</v>
      </c>
      <c r="AK485" s="83">
        <v>1</v>
      </c>
      <c r="AL485" s="83">
        <v>700</v>
      </c>
      <c r="AM485" s="83" t="s">
        <v>2693</v>
      </c>
      <c r="BK485" s="83" t="s">
        <v>2694</v>
      </c>
      <c r="BL485" s="83" t="s">
        <v>2697</v>
      </c>
      <c r="BM485" s="83" t="s">
        <v>2693</v>
      </c>
      <c r="BN485" s="83" t="s">
        <v>2696</v>
      </c>
      <c r="BO485" s="83" t="s">
        <v>2697</v>
      </c>
      <c r="BP485" s="83" t="s">
        <v>2693</v>
      </c>
      <c r="BQ485" s="83" t="s">
        <v>2693</v>
      </c>
      <c r="BR485" s="83" t="s">
        <v>2693</v>
      </c>
      <c r="BS485" s="83" t="s">
        <v>2699</v>
      </c>
      <c r="BT485" s="83">
        <v>0</v>
      </c>
      <c r="BU485" s="83" t="s">
        <v>2699</v>
      </c>
      <c r="BV485" s="83" t="s">
        <v>2696</v>
      </c>
      <c r="BW485" s="83" t="s">
        <v>2699</v>
      </c>
      <c r="BX485" s="83" t="s">
        <v>2696</v>
      </c>
      <c r="BY485" s="83" t="s">
        <v>2699</v>
      </c>
      <c r="BZ485" s="83" t="s">
        <v>2696</v>
      </c>
      <c r="CA485" s="83" t="s">
        <v>2693</v>
      </c>
      <c r="CB485" s="83">
        <v>9</v>
      </c>
      <c r="CC485" s="83" t="s">
        <v>2699</v>
      </c>
      <c r="CD485" s="83" t="s">
        <v>2696</v>
      </c>
      <c r="CF485" s="83" t="s">
        <v>2195</v>
      </c>
      <c r="CG485" s="83" t="s">
        <v>2196</v>
      </c>
      <c r="CH485" s="83" t="s">
        <v>2725</v>
      </c>
      <c r="CI485" s="83" t="s">
        <v>1358</v>
      </c>
      <c r="CJ485" s="83" t="s">
        <v>2726</v>
      </c>
      <c r="CK485" s="144">
        <v>0</v>
      </c>
      <c r="CL485"/>
    </row>
    <row r="486" spans="1:90">
      <c r="A486" s="83" t="s">
        <v>1586</v>
      </c>
      <c r="B486" s="83" t="s">
        <v>1657</v>
      </c>
      <c r="D486" s="83" t="s">
        <v>714</v>
      </c>
      <c r="E486" s="83" t="s">
        <v>3838</v>
      </c>
      <c r="F486" s="83">
        <v>5434</v>
      </c>
      <c r="G486" s="83" t="s">
        <v>1899</v>
      </c>
      <c r="H486" s="83" t="s">
        <v>1201</v>
      </c>
      <c r="I486" s="83" t="s">
        <v>1202</v>
      </c>
      <c r="J486" s="83" t="s">
        <v>1203</v>
      </c>
      <c r="K486" s="83" t="s">
        <v>565</v>
      </c>
      <c r="L486" s="83" t="s">
        <v>398</v>
      </c>
      <c r="M486" s="83" t="s">
        <v>399</v>
      </c>
      <c r="N486" s="83" t="s">
        <v>2735</v>
      </c>
      <c r="O486" s="83" t="s">
        <v>106</v>
      </c>
      <c r="P486" s="83">
        <v>5</v>
      </c>
      <c r="Q486" s="83" t="s">
        <v>106</v>
      </c>
      <c r="R486" s="83" t="s">
        <v>2691</v>
      </c>
      <c r="S486" s="87">
        <v>25203</v>
      </c>
      <c r="T486" s="83" t="s">
        <v>2703</v>
      </c>
      <c r="U486" s="83" t="s">
        <v>401</v>
      </c>
      <c r="AC486" s="83" t="s">
        <v>401</v>
      </c>
      <c r="AD486" s="83">
        <v>419000</v>
      </c>
      <c r="AF486" s="83">
        <v>0</v>
      </c>
      <c r="AJ486" s="83">
        <v>1</v>
      </c>
      <c r="AK486" s="83">
        <v>1</v>
      </c>
      <c r="AL486" s="83">
        <v>5700</v>
      </c>
      <c r="AM486" s="83" t="s">
        <v>2693</v>
      </c>
      <c r="BK486" s="83">
        <v>9</v>
      </c>
      <c r="BL486" s="83">
        <v>9</v>
      </c>
      <c r="BM486" s="83">
        <v>2</v>
      </c>
      <c r="BN486" s="83">
        <v>5</v>
      </c>
      <c r="BO486" s="83">
        <v>2</v>
      </c>
      <c r="BP486" s="83">
        <v>2</v>
      </c>
      <c r="BQ486" s="83">
        <v>1</v>
      </c>
      <c r="BR486" s="83">
        <v>2</v>
      </c>
      <c r="BS486" s="83">
        <v>1</v>
      </c>
      <c r="BT486" s="83">
        <v>0</v>
      </c>
      <c r="BU486" s="83">
        <v>1</v>
      </c>
      <c r="BV486" s="79">
        <v>0</v>
      </c>
      <c r="BW486" s="83">
        <v>5</v>
      </c>
      <c r="BX486" s="83">
        <v>0</v>
      </c>
      <c r="BY486" s="83">
        <v>1</v>
      </c>
      <c r="BZ486" s="83">
        <v>0</v>
      </c>
      <c r="CA486" s="83">
        <v>1</v>
      </c>
      <c r="CB486" s="83">
        <v>9</v>
      </c>
      <c r="CC486" s="83">
        <v>2</v>
      </c>
      <c r="CD486" s="83">
        <v>0</v>
      </c>
      <c r="CF486" s="83" t="s">
        <v>2151</v>
      </c>
      <c r="CG486" s="83" t="s">
        <v>2152</v>
      </c>
      <c r="CH486" s="83" t="s">
        <v>2725</v>
      </c>
      <c r="CI486" s="83" t="s">
        <v>1358</v>
      </c>
      <c r="CJ486" s="79">
        <v>137</v>
      </c>
      <c r="CK486" s="144">
        <v>0</v>
      </c>
      <c r="CL486"/>
    </row>
    <row r="487" spans="1:90">
      <c r="A487" s="83" t="s">
        <v>3299</v>
      </c>
      <c r="B487" s="83" t="s">
        <v>2631</v>
      </c>
      <c r="D487" s="83" t="s">
        <v>688</v>
      </c>
      <c r="E487" s="83" t="s">
        <v>2630</v>
      </c>
      <c r="F487" s="83" t="s">
        <v>3300</v>
      </c>
      <c r="G487" s="83" t="s">
        <v>2329</v>
      </c>
      <c r="H487" s="83" t="s">
        <v>1201</v>
      </c>
      <c r="I487" s="83" t="s">
        <v>1202</v>
      </c>
      <c r="J487" s="83" t="s">
        <v>1203</v>
      </c>
      <c r="K487" s="83" t="s">
        <v>565</v>
      </c>
      <c r="L487" s="83" t="s">
        <v>398</v>
      </c>
      <c r="M487" s="83" t="s">
        <v>399</v>
      </c>
      <c r="N487" s="83" t="s">
        <v>3277</v>
      </c>
      <c r="O487" s="83" t="s">
        <v>106</v>
      </c>
      <c r="P487" s="83">
        <v>4</v>
      </c>
      <c r="Q487" s="83" t="s">
        <v>106</v>
      </c>
      <c r="R487" s="83" t="s">
        <v>2727</v>
      </c>
      <c r="S487" s="83" t="s">
        <v>2712</v>
      </c>
      <c r="T487" s="83" t="s">
        <v>2843</v>
      </c>
      <c r="U487" s="83" t="s">
        <v>401</v>
      </c>
      <c r="AC487" s="83" t="s">
        <v>401</v>
      </c>
      <c r="AD487" s="83">
        <v>112000</v>
      </c>
      <c r="AF487" s="83">
        <v>13000</v>
      </c>
      <c r="AJ487" s="83">
        <v>1</v>
      </c>
      <c r="AK487" s="83">
        <v>2</v>
      </c>
      <c r="AL487" s="83">
        <v>1600</v>
      </c>
      <c r="AM487" s="83" t="s">
        <v>2693</v>
      </c>
      <c r="BK487" s="83" t="s">
        <v>2694</v>
      </c>
      <c r="BL487" s="83" t="s">
        <v>2704</v>
      </c>
      <c r="BM487" s="83" t="s">
        <v>2698</v>
      </c>
      <c r="BN487" s="83" t="s">
        <v>2698</v>
      </c>
      <c r="BO487" s="83" t="s">
        <v>2697</v>
      </c>
      <c r="BP487" s="83" t="s">
        <v>2698</v>
      </c>
      <c r="BQ487" s="83" t="s">
        <v>2699</v>
      </c>
      <c r="BR487" s="83" t="s">
        <v>2693</v>
      </c>
      <c r="BS487" s="83" t="s">
        <v>2699</v>
      </c>
      <c r="BT487" s="83" t="s">
        <v>2696</v>
      </c>
      <c r="BU487" s="83" t="s">
        <v>2699</v>
      </c>
      <c r="BV487" s="83" t="s">
        <v>2696</v>
      </c>
      <c r="BW487" s="83" t="s">
        <v>2698</v>
      </c>
      <c r="BX487" s="83" t="s">
        <v>2696</v>
      </c>
      <c r="BY487" s="83" t="s">
        <v>2699</v>
      </c>
      <c r="BZ487" s="83" t="s">
        <v>2693</v>
      </c>
      <c r="CA487" s="83" t="s">
        <v>2693</v>
      </c>
      <c r="CB487" s="83" t="s">
        <v>2694</v>
      </c>
      <c r="CC487" s="83" t="s">
        <v>2699</v>
      </c>
      <c r="CD487" s="83" t="s">
        <v>2696</v>
      </c>
      <c r="CF487" s="83" t="s">
        <v>3301</v>
      </c>
      <c r="CG487" s="83" t="s">
        <v>3302</v>
      </c>
      <c r="CH487" s="83" t="s">
        <v>2693</v>
      </c>
      <c r="CI487" s="83" t="s">
        <v>3992</v>
      </c>
      <c r="CJ487" s="83" t="s">
        <v>2701</v>
      </c>
      <c r="CK487" s="144">
        <v>0</v>
      </c>
      <c r="CL487" s="99">
        <v>271000</v>
      </c>
    </row>
    <row r="488" spans="1:90">
      <c r="A488" s="83" t="s">
        <v>3299</v>
      </c>
      <c r="B488" s="83" t="s">
        <v>2631</v>
      </c>
      <c r="D488" s="83" t="s">
        <v>673</v>
      </c>
      <c r="E488" s="83" t="s">
        <v>894</v>
      </c>
      <c r="F488" s="83" t="s">
        <v>3300</v>
      </c>
      <c r="G488" s="83" t="s">
        <v>2329</v>
      </c>
      <c r="H488" s="83" t="s">
        <v>1201</v>
      </c>
      <c r="I488" s="83" t="s">
        <v>1202</v>
      </c>
      <c r="J488" s="83" t="s">
        <v>1203</v>
      </c>
      <c r="K488" s="83" t="s">
        <v>565</v>
      </c>
      <c r="L488" s="83" t="s">
        <v>398</v>
      </c>
      <c r="M488" s="83" t="s">
        <v>399</v>
      </c>
      <c r="N488" s="83" t="s">
        <v>3277</v>
      </c>
      <c r="O488" s="83" t="s">
        <v>106</v>
      </c>
      <c r="P488" s="83">
        <v>4</v>
      </c>
      <c r="Q488" s="83" t="s">
        <v>106</v>
      </c>
      <c r="R488" s="83" t="s">
        <v>2727</v>
      </c>
      <c r="S488" s="83" t="s">
        <v>2712</v>
      </c>
      <c r="T488" s="83" t="s">
        <v>2843</v>
      </c>
      <c r="U488" s="83" t="s">
        <v>401</v>
      </c>
      <c r="AC488" s="83" t="s">
        <v>401</v>
      </c>
      <c r="AD488" s="83">
        <v>78000</v>
      </c>
      <c r="AF488" s="83">
        <v>2000</v>
      </c>
      <c r="AJ488" s="83">
        <v>1</v>
      </c>
      <c r="AK488" s="83">
        <v>1</v>
      </c>
      <c r="AL488" s="83">
        <v>650</v>
      </c>
      <c r="AM488" s="83" t="s">
        <v>2693</v>
      </c>
      <c r="BK488" s="83" t="s">
        <v>2694</v>
      </c>
      <c r="BL488" s="83" t="s">
        <v>2695</v>
      </c>
      <c r="BM488" s="83" t="s">
        <v>2693</v>
      </c>
      <c r="BN488" s="83" t="s">
        <v>2698</v>
      </c>
      <c r="BO488" s="83" t="s">
        <v>2697</v>
      </c>
      <c r="BP488" s="83" t="s">
        <v>2698</v>
      </c>
      <c r="BQ488" s="83" t="s">
        <v>2699</v>
      </c>
      <c r="BR488" s="83" t="s">
        <v>2693</v>
      </c>
      <c r="BS488" s="83" t="s">
        <v>2699</v>
      </c>
      <c r="BT488" s="83" t="s">
        <v>2696</v>
      </c>
      <c r="BU488" s="83" t="s">
        <v>2699</v>
      </c>
      <c r="BV488" s="83" t="s">
        <v>2696</v>
      </c>
      <c r="BW488" s="83" t="s">
        <v>2698</v>
      </c>
      <c r="BX488" s="83" t="s">
        <v>2696</v>
      </c>
      <c r="BY488" s="83" t="s">
        <v>2699</v>
      </c>
      <c r="BZ488" s="83" t="s">
        <v>2693</v>
      </c>
      <c r="CA488" s="83" t="s">
        <v>2693</v>
      </c>
      <c r="CB488" s="83" t="s">
        <v>2694</v>
      </c>
      <c r="CC488" s="83" t="s">
        <v>2699</v>
      </c>
      <c r="CD488" s="83" t="s">
        <v>2696</v>
      </c>
      <c r="CF488" s="83" t="s">
        <v>3303</v>
      </c>
      <c r="CG488" s="83" t="s">
        <v>3304</v>
      </c>
      <c r="CH488" s="83" t="s">
        <v>2693</v>
      </c>
      <c r="CI488" s="83" t="s">
        <v>3992</v>
      </c>
      <c r="CJ488" s="83" t="s">
        <v>2701</v>
      </c>
      <c r="CK488" s="144">
        <v>0</v>
      </c>
      <c r="CL488"/>
    </row>
    <row r="489" spans="1:90">
      <c r="A489" s="83" t="s">
        <v>3344</v>
      </c>
      <c r="B489" s="83" t="s">
        <v>1001</v>
      </c>
      <c r="D489" s="83" t="s">
        <v>688</v>
      </c>
      <c r="E489" s="83" t="s">
        <v>2491</v>
      </c>
      <c r="F489" s="83" t="s">
        <v>3345</v>
      </c>
      <c r="G489" s="83" t="s">
        <v>2336</v>
      </c>
      <c r="H489" s="83" t="s">
        <v>1201</v>
      </c>
      <c r="I489" s="83" t="s">
        <v>1202</v>
      </c>
      <c r="J489" s="83" t="s">
        <v>1203</v>
      </c>
      <c r="K489" s="83" t="s">
        <v>565</v>
      </c>
      <c r="L489" s="83" t="s">
        <v>398</v>
      </c>
      <c r="M489" s="83" t="s">
        <v>399</v>
      </c>
      <c r="N489" s="83" t="s">
        <v>3327</v>
      </c>
      <c r="O489" s="83" t="s">
        <v>106</v>
      </c>
      <c r="P489" s="83">
        <v>4</v>
      </c>
      <c r="Q489" s="83" t="s">
        <v>106</v>
      </c>
      <c r="R489" s="83" t="s">
        <v>2727</v>
      </c>
      <c r="S489" s="83" t="s">
        <v>2712</v>
      </c>
      <c r="T489" s="83" t="s">
        <v>2843</v>
      </c>
      <c r="U489" s="83" t="s">
        <v>401</v>
      </c>
      <c r="AC489" s="83" t="s">
        <v>401</v>
      </c>
      <c r="AD489" s="83">
        <v>37000</v>
      </c>
      <c r="AF489" s="83">
        <v>4000</v>
      </c>
      <c r="AJ489" s="83">
        <v>1</v>
      </c>
      <c r="AK489" s="83">
        <v>1</v>
      </c>
      <c r="AL489" s="83">
        <v>480</v>
      </c>
      <c r="AM489" s="83" t="s">
        <v>2693</v>
      </c>
      <c r="BK489" s="83" t="s">
        <v>2694</v>
      </c>
      <c r="BL489" s="83" t="s">
        <v>2704</v>
      </c>
      <c r="BM489" s="83" t="s">
        <v>2698</v>
      </c>
      <c r="BN489" s="83" t="s">
        <v>2698</v>
      </c>
      <c r="BO489" s="83" t="s">
        <v>2697</v>
      </c>
      <c r="BP489" s="83" t="s">
        <v>2698</v>
      </c>
      <c r="BQ489" s="83" t="s">
        <v>2699</v>
      </c>
      <c r="BR489" s="83" t="s">
        <v>2693</v>
      </c>
      <c r="BS489" s="83" t="s">
        <v>2699</v>
      </c>
      <c r="BT489" s="83" t="s">
        <v>2696</v>
      </c>
      <c r="BU489" s="83" t="s">
        <v>2699</v>
      </c>
      <c r="BV489" s="83" t="s">
        <v>2696</v>
      </c>
      <c r="BW489" s="83" t="s">
        <v>2698</v>
      </c>
      <c r="BX489" s="83" t="s">
        <v>2696</v>
      </c>
      <c r="BY489" s="83" t="s">
        <v>2699</v>
      </c>
      <c r="BZ489" s="83" t="s">
        <v>2693</v>
      </c>
      <c r="CA489" s="83" t="s">
        <v>2693</v>
      </c>
      <c r="CB489" s="83" t="s">
        <v>2694</v>
      </c>
      <c r="CC489" s="83" t="s">
        <v>2699</v>
      </c>
      <c r="CD489" s="83" t="s">
        <v>2696</v>
      </c>
      <c r="CF489" s="83" t="s">
        <v>3346</v>
      </c>
      <c r="CG489" s="83" t="s">
        <v>3347</v>
      </c>
      <c r="CH489" s="83" t="s">
        <v>2693</v>
      </c>
      <c r="CI489" s="83" t="s">
        <v>3992</v>
      </c>
      <c r="CJ489" s="83" t="s">
        <v>2701</v>
      </c>
      <c r="CK489" s="144">
        <v>0</v>
      </c>
      <c r="CL489" s="99">
        <v>329000</v>
      </c>
    </row>
    <row r="490" spans="1:90">
      <c r="A490" s="83" t="s">
        <v>3517</v>
      </c>
      <c r="B490" s="83" t="s">
        <v>1004</v>
      </c>
      <c r="D490" s="83" t="s">
        <v>688</v>
      </c>
      <c r="E490" s="83" t="s">
        <v>1007</v>
      </c>
      <c r="F490" s="83" t="s">
        <v>3518</v>
      </c>
      <c r="G490" s="83" t="s">
        <v>1191</v>
      </c>
      <c r="H490" s="83" t="s">
        <v>1201</v>
      </c>
      <c r="I490" s="83" t="s">
        <v>1202</v>
      </c>
      <c r="J490" s="83" t="s">
        <v>1203</v>
      </c>
      <c r="K490" s="83" t="s">
        <v>565</v>
      </c>
      <c r="L490" s="83" t="s">
        <v>398</v>
      </c>
      <c r="M490" s="83" t="s">
        <v>399</v>
      </c>
      <c r="N490" s="83" t="s">
        <v>2832</v>
      </c>
      <c r="O490" s="83" t="s">
        <v>106</v>
      </c>
      <c r="P490" s="83">
        <v>9</v>
      </c>
      <c r="Q490" s="83" t="s">
        <v>106</v>
      </c>
      <c r="R490" s="83" t="s">
        <v>2767</v>
      </c>
      <c r="S490" s="83" t="s">
        <v>2793</v>
      </c>
      <c r="T490" s="83" t="s">
        <v>2703</v>
      </c>
      <c r="U490" s="83" t="s">
        <v>401</v>
      </c>
      <c r="AC490" s="83" t="s">
        <v>401</v>
      </c>
      <c r="AD490" s="83">
        <v>20000</v>
      </c>
      <c r="AF490" s="83">
        <v>0</v>
      </c>
      <c r="AJ490" s="83">
        <v>1</v>
      </c>
      <c r="AK490" s="83">
        <v>1</v>
      </c>
      <c r="AL490" s="83">
        <v>842</v>
      </c>
      <c r="AM490" s="83" t="s">
        <v>2693</v>
      </c>
      <c r="BK490" s="83" t="s">
        <v>2694</v>
      </c>
      <c r="BL490" s="83" t="s">
        <v>2693</v>
      </c>
      <c r="BM490" s="83" t="s">
        <v>2697</v>
      </c>
      <c r="BN490" s="83" t="s">
        <v>2698</v>
      </c>
      <c r="BO490" s="83" t="s">
        <v>2697</v>
      </c>
      <c r="BP490" s="83" t="s">
        <v>2697</v>
      </c>
      <c r="BQ490" s="83" t="s">
        <v>2699</v>
      </c>
      <c r="BR490" s="83" t="s">
        <v>2693</v>
      </c>
      <c r="BS490" s="83" t="s">
        <v>2699</v>
      </c>
      <c r="BT490" s="83" t="s">
        <v>2696</v>
      </c>
      <c r="BU490" s="83" t="s">
        <v>2699</v>
      </c>
      <c r="BV490" s="83" t="s">
        <v>2697</v>
      </c>
      <c r="BW490" s="83" t="s">
        <v>2693</v>
      </c>
      <c r="BX490" s="83" t="s">
        <v>2696</v>
      </c>
      <c r="BY490" s="83" t="s">
        <v>2699</v>
      </c>
      <c r="BZ490" s="83" t="s">
        <v>2699</v>
      </c>
      <c r="CA490" s="83" t="s">
        <v>2693</v>
      </c>
      <c r="CB490" s="83" t="s">
        <v>2694</v>
      </c>
      <c r="CC490" s="83" t="s">
        <v>2696</v>
      </c>
      <c r="CD490" s="83" t="s">
        <v>2696</v>
      </c>
      <c r="CF490" s="83" t="s">
        <v>1005</v>
      </c>
      <c r="CG490" s="83" t="s">
        <v>1006</v>
      </c>
      <c r="CH490" s="83" t="s">
        <v>2697</v>
      </c>
      <c r="CI490" s="83" t="s">
        <v>648</v>
      </c>
      <c r="CJ490" s="83" t="s">
        <v>2757</v>
      </c>
      <c r="CK490" s="144">
        <v>0</v>
      </c>
      <c r="CL490" s="99">
        <v>168000</v>
      </c>
    </row>
    <row r="491" spans="1:90">
      <c r="A491" s="83" t="s">
        <v>1587</v>
      </c>
      <c r="B491" s="83" t="s">
        <v>1658</v>
      </c>
      <c r="D491" s="83" t="s">
        <v>688</v>
      </c>
      <c r="E491" s="83" t="s">
        <v>1658</v>
      </c>
      <c r="F491" s="83" t="s">
        <v>1783</v>
      </c>
      <c r="G491" s="83" t="s">
        <v>1894</v>
      </c>
      <c r="H491" s="83" t="s">
        <v>1201</v>
      </c>
      <c r="I491" s="83" t="s">
        <v>1202</v>
      </c>
      <c r="J491" s="83" t="s">
        <v>1203</v>
      </c>
      <c r="K491" s="83" t="s">
        <v>565</v>
      </c>
      <c r="L491" s="83" t="s">
        <v>398</v>
      </c>
      <c r="M491" s="83" t="s">
        <v>399</v>
      </c>
      <c r="N491" s="83" t="s">
        <v>2752</v>
      </c>
      <c r="O491" s="83" t="s">
        <v>106</v>
      </c>
      <c r="P491" s="83">
        <v>4</v>
      </c>
      <c r="Q491" s="83" t="s">
        <v>106</v>
      </c>
      <c r="R491" s="83" t="s">
        <v>2753</v>
      </c>
      <c r="S491" s="83" t="s">
        <v>1452</v>
      </c>
      <c r="T491" s="83" t="s">
        <v>1444</v>
      </c>
      <c r="U491" s="83" t="s">
        <v>401</v>
      </c>
      <c r="AC491" s="83" t="s">
        <v>401</v>
      </c>
      <c r="AD491" s="83">
        <v>968000</v>
      </c>
      <c r="AF491" s="83">
        <v>206000</v>
      </c>
      <c r="AJ491" s="83">
        <v>1</v>
      </c>
      <c r="AK491" s="83">
        <v>2</v>
      </c>
      <c r="AL491" s="83">
        <v>9960</v>
      </c>
      <c r="AM491" s="83" t="s">
        <v>2693</v>
      </c>
      <c r="BK491" s="83" t="s">
        <v>2694</v>
      </c>
      <c r="BL491" s="83" t="s">
        <v>2697</v>
      </c>
      <c r="BM491" s="83" t="s">
        <v>2699</v>
      </c>
      <c r="BN491" s="83" t="s">
        <v>2698</v>
      </c>
      <c r="BO491" s="83" t="s">
        <v>2697</v>
      </c>
      <c r="BP491" s="83" t="s">
        <v>2697</v>
      </c>
      <c r="BQ491" s="83" t="s">
        <v>2699</v>
      </c>
      <c r="BR491" s="83" t="s">
        <v>2699</v>
      </c>
      <c r="BS491" s="83" t="s">
        <v>2699</v>
      </c>
      <c r="BT491" s="83" t="s">
        <v>2696</v>
      </c>
      <c r="BU491" s="83" t="s">
        <v>2699</v>
      </c>
      <c r="BV491" s="83" t="s">
        <v>2696</v>
      </c>
      <c r="BW491" s="83" t="s">
        <v>2698</v>
      </c>
      <c r="BX491" s="83" t="s">
        <v>2696</v>
      </c>
      <c r="BY491" s="83" t="s">
        <v>2699</v>
      </c>
      <c r="BZ491" s="83" t="s">
        <v>2696</v>
      </c>
      <c r="CA491" s="83" t="s">
        <v>2699</v>
      </c>
      <c r="CB491" s="83">
        <v>9</v>
      </c>
      <c r="CC491" s="83" t="s">
        <v>2699</v>
      </c>
      <c r="CD491" s="83" t="s">
        <v>2696</v>
      </c>
      <c r="CF491" s="83" t="s">
        <v>2217</v>
      </c>
      <c r="CG491" s="83" t="s">
        <v>2218</v>
      </c>
      <c r="CH491" s="83" t="s">
        <v>2693</v>
      </c>
      <c r="CI491" s="83" t="s">
        <v>3992</v>
      </c>
      <c r="CJ491" s="83" t="s">
        <v>2701</v>
      </c>
      <c r="CK491" s="144">
        <v>1</v>
      </c>
      <c r="CL491" s="99">
        <v>32000</v>
      </c>
    </row>
    <row r="492" spans="1:90">
      <c r="A492" s="83" t="s">
        <v>767</v>
      </c>
      <c r="B492" s="83" t="s">
        <v>764</v>
      </c>
      <c r="D492" s="83" t="s">
        <v>688</v>
      </c>
      <c r="E492" s="83" t="s">
        <v>2425</v>
      </c>
      <c r="F492" s="83" t="s">
        <v>3519</v>
      </c>
      <c r="G492" s="83" t="s">
        <v>1192</v>
      </c>
      <c r="H492" s="83" t="s">
        <v>1201</v>
      </c>
      <c r="I492" s="83" t="s">
        <v>1202</v>
      </c>
      <c r="J492" s="83" t="s">
        <v>1203</v>
      </c>
      <c r="K492" s="83" t="s">
        <v>565</v>
      </c>
      <c r="L492" s="83" t="s">
        <v>398</v>
      </c>
      <c r="M492" s="83" t="s">
        <v>399</v>
      </c>
      <c r="N492" s="83" t="s">
        <v>3228</v>
      </c>
      <c r="O492" s="83" t="s">
        <v>106</v>
      </c>
      <c r="P492" s="83">
        <v>9</v>
      </c>
      <c r="Q492" s="83" t="s">
        <v>106</v>
      </c>
      <c r="R492" s="83" t="s">
        <v>2767</v>
      </c>
      <c r="S492" s="83" t="s">
        <v>2736</v>
      </c>
      <c r="T492" s="83" t="s">
        <v>2703</v>
      </c>
      <c r="U492" s="83" t="s">
        <v>401</v>
      </c>
      <c r="AC492" s="83" t="s">
        <v>401</v>
      </c>
      <c r="AD492" s="83">
        <v>683000</v>
      </c>
      <c r="AF492" s="83">
        <v>0</v>
      </c>
      <c r="AJ492" s="83">
        <v>1</v>
      </c>
      <c r="AK492" s="83">
        <v>1</v>
      </c>
      <c r="AL492" s="83">
        <v>7000</v>
      </c>
      <c r="AM492" s="83" t="s">
        <v>2693</v>
      </c>
      <c r="BK492" s="83" t="s">
        <v>2694</v>
      </c>
      <c r="BL492" s="83" t="s">
        <v>2693</v>
      </c>
      <c r="BM492" s="83" t="s">
        <v>2698</v>
      </c>
      <c r="BN492" s="83" t="s">
        <v>2698</v>
      </c>
      <c r="BO492" s="83" t="s">
        <v>2697</v>
      </c>
      <c r="BP492" s="83" t="s">
        <v>2697</v>
      </c>
      <c r="BQ492" s="83" t="s">
        <v>2699</v>
      </c>
      <c r="BR492" s="83" t="s">
        <v>2693</v>
      </c>
      <c r="BS492" s="83" t="s">
        <v>2699</v>
      </c>
      <c r="BT492" s="83" t="s">
        <v>2696</v>
      </c>
      <c r="BU492" s="83" t="s">
        <v>2699</v>
      </c>
      <c r="BV492" s="83" t="s">
        <v>2697</v>
      </c>
      <c r="BW492" s="83" t="s">
        <v>2693</v>
      </c>
      <c r="BX492" s="83" t="s">
        <v>2696</v>
      </c>
      <c r="BY492" s="83" t="s">
        <v>2699</v>
      </c>
      <c r="BZ492" s="83" t="s">
        <v>2699</v>
      </c>
      <c r="CA492" s="83" t="s">
        <v>2693</v>
      </c>
      <c r="CB492" s="83" t="s">
        <v>2694</v>
      </c>
      <c r="CC492" s="83" t="s">
        <v>2699</v>
      </c>
      <c r="CD492" s="83" t="s">
        <v>2696</v>
      </c>
      <c r="CF492" s="83" t="s">
        <v>765</v>
      </c>
      <c r="CG492" s="83" t="s">
        <v>766</v>
      </c>
      <c r="CH492" s="83" t="s">
        <v>2697</v>
      </c>
      <c r="CI492" s="83" t="s">
        <v>648</v>
      </c>
      <c r="CJ492" s="83" t="s">
        <v>2757</v>
      </c>
      <c r="CK492" s="144">
        <v>1</v>
      </c>
      <c r="CL492" s="99">
        <v>1310000</v>
      </c>
    </row>
    <row r="493" spans="1:90">
      <c r="A493" s="83" t="s">
        <v>767</v>
      </c>
      <c r="B493" s="83" t="s">
        <v>764</v>
      </c>
      <c r="D493" s="83" t="s">
        <v>673</v>
      </c>
      <c r="E493" s="83" t="s">
        <v>3520</v>
      </c>
      <c r="F493" s="83" t="s">
        <v>3519</v>
      </c>
      <c r="G493" s="83" t="s">
        <v>1192</v>
      </c>
      <c r="H493" s="83" t="s">
        <v>1201</v>
      </c>
      <c r="I493" s="83" t="s">
        <v>1202</v>
      </c>
      <c r="J493" s="83" t="s">
        <v>1203</v>
      </c>
      <c r="K493" s="83" t="s">
        <v>565</v>
      </c>
      <c r="L493" s="83" t="s">
        <v>398</v>
      </c>
      <c r="M493" s="83" t="s">
        <v>399</v>
      </c>
      <c r="N493" s="83" t="s">
        <v>3228</v>
      </c>
      <c r="O493" s="83" t="s">
        <v>106</v>
      </c>
      <c r="P493" s="83">
        <v>1</v>
      </c>
      <c r="Q493" s="83" t="s">
        <v>106</v>
      </c>
      <c r="R493" s="83" t="s">
        <v>2767</v>
      </c>
      <c r="S493" s="83" t="s">
        <v>2736</v>
      </c>
      <c r="T493" s="83" t="s">
        <v>2703</v>
      </c>
      <c r="U493" s="83" t="s">
        <v>401</v>
      </c>
      <c r="AC493" s="83" t="s">
        <v>401</v>
      </c>
      <c r="AD493" s="83">
        <v>113000</v>
      </c>
      <c r="AF493" s="83">
        <v>0</v>
      </c>
      <c r="AJ493" s="83">
        <v>1</v>
      </c>
      <c r="AK493" s="83">
        <v>1</v>
      </c>
      <c r="AL493" s="83">
        <v>1920</v>
      </c>
      <c r="AM493" s="83" t="s">
        <v>2693</v>
      </c>
      <c r="BK493" s="83" t="s">
        <v>2694</v>
      </c>
      <c r="BL493" s="83" t="s">
        <v>2704</v>
      </c>
      <c r="BM493" s="83" t="s">
        <v>2698</v>
      </c>
      <c r="BN493" s="83" t="s">
        <v>2696</v>
      </c>
      <c r="BO493" s="83" t="s">
        <v>2697</v>
      </c>
      <c r="BP493" s="83" t="s">
        <v>2698</v>
      </c>
      <c r="BQ493" s="83" t="s">
        <v>2699</v>
      </c>
      <c r="BR493" s="83" t="s">
        <v>2693</v>
      </c>
      <c r="BS493" s="83" t="s">
        <v>2699</v>
      </c>
      <c r="BT493" s="83" t="s">
        <v>2696</v>
      </c>
      <c r="BU493" s="83" t="s">
        <v>2699</v>
      </c>
      <c r="BV493" s="83" t="s">
        <v>2697</v>
      </c>
      <c r="BW493" s="83" t="s">
        <v>2697</v>
      </c>
      <c r="BX493" s="83" t="s">
        <v>2696</v>
      </c>
      <c r="BY493" s="83" t="s">
        <v>2693</v>
      </c>
      <c r="BZ493" s="83" t="s">
        <v>2699</v>
      </c>
      <c r="CA493" s="83" t="s">
        <v>2693</v>
      </c>
      <c r="CB493" s="83" t="s">
        <v>2694</v>
      </c>
      <c r="CC493" s="83" t="s">
        <v>2696</v>
      </c>
      <c r="CD493" s="83" t="s">
        <v>2696</v>
      </c>
      <c r="CF493" s="83" t="s">
        <v>815</v>
      </c>
      <c r="CG493" s="83" t="s">
        <v>857</v>
      </c>
      <c r="CH493" s="83" t="s">
        <v>2699</v>
      </c>
      <c r="CI493" s="83" t="s">
        <v>2699</v>
      </c>
      <c r="CJ493" s="83" t="s">
        <v>2734</v>
      </c>
      <c r="CK493" s="144">
        <v>0</v>
      </c>
      <c r="CL493"/>
    </row>
    <row r="494" spans="1:90">
      <c r="A494" s="83" t="s">
        <v>1216</v>
      </c>
      <c r="B494" s="83" t="s">
        <v>687</v>
      </c>
      <c r="D494" s="83" t="s">
        <v>688</v>
      </c>
      <c r="E494" s="83" t="s">
        <v>1265</v>
      </c>
      <c r="F494" s="83" t="s">
        <v>1304</v>
      </c>
      <c r="G494" s="83" t="s">
        <v>1305</v>
      </c>
      <c r="H494" s="83" t="s">
        <v>1201</v>
      </c>
      <c r="I494" s="83" t="s">
        <v>1202</v>
      </c>
      <c r="J494" s="83" t="s">
        <v>1203</v>
      </c>
      <c r="K494" s="83" t="s">
        <v>565</v>
      </c>
      <c r="L494" s="83" t="s">
        <v>398</v>
      </c>
      <c r="M494" s="83" t="s">
        <v>399</v>
      </c>
      <c r="N494" s="83" t="s">
        <v>2752</v>
      </c>
      <c r="O494" s="83" t="s">
        <v>106</v>
      </c>
      <c r="P494" s="83">
        <v>5</v>
      </c>
      <c r="Q494" s="83" t="s">
        <v>106</v>
      </c>
      <c r="R494" s="83" t="s">
        <v>2799</v>
      </c>
      <c r="S494" s="83" t="s">
        <v>1454</v>
      </c>
      <c r="T494" s="83" t="s">
        <v>2703</v>
      </c>
      <c r="U494" s="83" t="s">
        <v>401</v>
      </c>
      <c r="AC494" s="83" t="s">
        <v>401</v>
      </c>
      <c r="AD494" s="83">
        <v>35105000</v>
      </c>
      <c r="AF494" s="83">
        <v>2331000</v>
      </c>
      <c r="AJ494" s="83">
        <v>1</v>
      </c>
      <c r="AK494" s="83">
        <v>6</v>
      </c>
      <c r="AL494" s="83">
        <v>105000</v>
      </c>
      <c r="AM494" s="83" t="s">
        <v>2693</v>
      </c>
      <c r="BK494" s="83" t="s">
        <v>2694</v>
      </c>
      <c r="BL494" s="83" t="s">
        <v>2697</v>
      </c>
      <c r="BM494" s="83" t="s">
        <v>2699</v>
      </c>
      <c r="BN494" s="83" t="s">
        <v>2698</v>
      </c>
      <c r="BO494" s="83" t="s">
        <v>2697</v>
      </c>
      <c r="BP494" s="83" t="s">
        <v>2697</v>
      </c>
      <c r="BQ494" s="83" t="s">
        <v>2699</v>
      </c>
      <c r="BR494" s="83" t="s">
        <v>2699</v>
      </c>
      <c r="BS494" s="83" t="s">
        <v>2699</v>
      </c>
      <c r="BT494" s="83" t="s">
        <v>2696</v>
      </c>
      <c r="BU494" s="83" t="s">
        <v>2695</v>
      </c>
      <c r="BV494" s="83" t="s">
        <v>2699</v>
      </c>
      <c r="BW494" s="83" t="s">
        <v>2695</v>
      </c>
      <c r="BX494" s="83" t="s">
        <v>2696</v>
      </c>
      <c r="BY494" s="83" t="s">
        <v>2699</v>
      </c>
      <c r="BZ494" s="83" t="s">
        <v>2699</v>
      </c>
      <c r="CA494" s="83" t="s">
        <v>2699</v>
      </c>
      <c r="CB494" s="83">
        <v>3</v>
      </c>
      <c r="CC494" s="83" t="s">
        <v>2699</v>
      </c>
      <c r="CD494" s="83" t="s">
        <v>2699</v>
      </c>
      <c r="CF494" s="83" t="s">
        <v>576</v>
      </c>
      <c r="CG494" s="83" t="s">
        <v>1368</v>
      </c>
      <c r="CH494" s="83" t="s">
        <v>2725</v>
      </c>
      <c r="CI494" s="83" t="s">
        <v>1358</v>
      </c>
      <c r="CJ494" s="83" t="s">
        <v>2726</v>
      </c>
      <c r="CK494" s="144">
        <v>0</v>
      </c>
      <c r="CL494" s="99">
        <v>21000</v>
      </c>
    </row>
    <row r="495" spans="1:90">
      <c r="A495" s="83" t="s">
        <v>3360</v>
      </c>
      <c r="B495" s="83" t="s">
        <v>1069</v>
      </c>
      <c r="D495" s="83" t="s">
        <v>688</v>
      </c>
      <c r="E495" s="83" t="s">
        <v>1069</v>
      </c>
      <c r="F495" s="83" t="s">
        <v>3361</v>
      </c>
      <c r="G495" s="83" t="s">
        <v>2340</v>
      </c>
      <c r="H495" s="83" t="s">
        <v>1201</v>
      </c>
      <c r="I495" s="83" t="s">
        <v>1202</v>
      </c>
      <c r="J495" s="83" t="s">
        <v>1203</v>
      </c>
      <c r="K495" s="83" t="s">
        <v>565</v>
      </c>
      <c r="L495" s="83" t="s">
        <v>398</v>
      </c>
      <c r="M495" s="83" t="s">
        <v>399</v>
      </c>
      <c r="N495" s="83" t="s">
        <v>3357</v>
      </c>
      <c r="O495" s="83" t="s">
        <v>106</v>
      </c>
      <c r="P495" s="83">
        <v>4</v>
      </c>
      <c r="Q495" s="83" t="s">
        <v>106</v>
      </c>
      <c r="R495" s="83" t="s">
        <v>2753</v>
      </c>
      <c r="S495" s="83" t="s">
        <v>1468</v>
      </c>
      <c r="T495" s="83" t="s">
        <v>2843</v>
      </c>
      <c r="U495" s="83" t="s">
        <v>401</v>
      </c>
      <c r="AC495" s="83" t="s">
        <v>401</v>
      </c>
      <c r="AD495" s="83">
        <v>764000</v>
      </c>
      <c r="AF495" s="83">
        <v>199000</v>
      </c>
      <c r="AJ495" s="83">
        <v>1</v>
      </c>
      <c r="AK495" s="83">
        <v>1</v>
      </c>
      <c r="AL495" s="83">
        <v>6584</v>
      </c>
      <c r="AM495" s="83" t="s">
        <v>2693</v>
      </c>
      <c r="BK495" s="83" t="s">
        <v>2694</v>
      </c>
      <c r="BL495" s="83" t="s">
        <v>2704</v>
      </c>
      <c r="BM495" s="83" t="s">
        <v>2698</v>
      </c>
      <c r="BN495" s="83" t="s">
        <v>2698</v>
      </c>
      <c r="BO495" s="83" t="s">
        <v>2697</v>
      </c>
      <c r="BP495" s="83" t="s">
        <v>2698</v>
      </c>
      <c r="BQ495" s="83" t="s">
        <v>2699</v>
      </c>
      <c r="BR495" s="83" t="s">
        <v>2693</v>
      </c>
      <c r="BS495" s="83" t="s">
        <v>2699</v>
      </c>
      <c r="BT495" s="83" t="s">
        <v>2696</v>
      </c>
      <c r="BU495" s="83" t="s">
        <v>2699</v>
      </c>
      <c r="BV495" s="83" t="s">
        <v>2696</v>
      </c>
      <c r="BW495" s="83" t="s">
        <v>2698</v>
      </c>
      <c r="BX495" s="83" t="s">
        <v>2696</v>
      </c>
      <c r="BY495" s="83" t="s">
        <v>2699</v>
      </c>
      <c r="BZ495" s="83" t="s">
        <v>2693</v>
      </c>
      <c r="CA495" s="83" t="s">
        <v>2693</v>
      </c>
      <c r="CB495" s="83" t="s">
        <v>2694</v>
      </c>
      <c r="CC495" s="83" t="s">
        <v>2699</v>
      </c>
      <c r="CD495" s="83" t="s">
        <v>2696</v>
      </c>
      <c r="CF495" s="83" t="s">
        <v>3362</v>
      </c>
      <c r="CG495" s="83" t="s">
        <v>3363</v>
      </c>
      <c r="CH495" s="83" t="s">
        <v>2693</v>
      </c>
      <c r="CI495" s="83" t="s">
        <v>3992</v>
      </c>
      <c r="CJ495" s="83" t="s">
        <v>2701</v>
      </c>
      <c r="CL495" s="99">
        <v>25000</v>
      </c>
    </row>
    <row r="496" spans="1:90" s="79" customFormat="1">
      <c r="A496" s="83" t="s">
        <v>3775</v>
      </c>
      <c r="B496" s="83" t="s">
        <v>3806</v>
      </c>
      <c r="C496" s="83"/>
      <c r="D496" s="83" t="s">
        <v>688</v>
      </c>
      <c r="E496" s="83" t="s">
        <v>3692</v>
      </c>
      <c r="F496" s="83">
        <v>4332</v>
      </c>
      <c r="G496" s="83" t="s">
        <v>3866</v>
      </c>
      <c r="H496" s="83" t="s">
        <v>1201</v>
      </c>
      <c r="I496" s="83" t="s">
        <v>1202</v>
      </c>
      <c r="J496" s="83" t="s">
        <v>1203</v>
      </c>
      <c r="K496" s="83" t="s">
        <v>565</v>
      </c>
      <c r="L496" s="83" t="s">
        <v>398</v>
      </c>
      <c r="M496" s="83" t="s">
        <v>399</v>
      </c>
      <c r="N496" s="83" t="s">
        <v>2750</v>
      </c>
      <c r="O496" s="83" t="s">
        <v>106</v>
      </c>
      <c r="P496" s="83">
        <v>0</v>
      </c>
      <c r="Q496" s="83" t="s">
        <v>106</v>
      </c>
      <c r="R496" s="83">
        <v>34</v>
      </c>
      <c r="S496" s="87">
        <v>31412</v>
      </c>
      <c r="T496" s="83" t="s">
        <v>2703</v>
      </c>
      <c r="U496" s="83" t="s">
        <v>401</v>
      </c>
      <c r="V496" s="97"/>
      <c r="W496" s="97"/>
      <c r="X496" s="97"/>
      <c r="Y496" s="97"/>
      <c r="Z496" s="97"/>
      <c r="AA496" s="97"/>
      <c r="AB496" s="97"/>
      <c r="AC496" s="83" t="s">
        <v>401</v>
      </c>
      <c r="AD496" s="83">
        <v>0</v>
      </c>
      <c r="AE496" s="83"/>
      <c r="AF496" s="83">
        <v>50000</v>
      </c>
      <c r="AG496" s="83"/>
      <c r="AH496" s="83"/>
      <c r="AI496" s="83"/>
      <c r="AJ496" s="83">
        <v>1</v>
      </c>
      <c r="AK496" s="82">
        <v>0</v>
      </c>
      <c r="AL496" s="83">
        <v>0</v>
      </c>
      <c r="AM496" s="83" t="s">
        <v>2693</v>
      </c>
      <c r="AN496" s="83"/>
      <c r="AO496" s="83"/>
      <c r="AP496" s="83"/>
      <c r="AQ496" s="83"/>
      <c r="AR496" s="83"/>
      <c r="AS496" s="83"/>
      <c r="AT496" s="83"/>
      <c r="AU496" s="83"/>
      <c r="AV496" s="83"/>
      <c r="AW496" s="83"/>
      <c r="AX496" s="83"/>
      <c r="AY496" s="83"/>
      <c r="AZ496" s="83"/>
      <c r="BA496" s="83"/>
      <c r="BB496" s="83"/>
      <c r="BC496" s="83"/>
      <c r="BD496" s="83"/>
      <c r="BE496" s="83"/>
      <c r="BF496" s="83"/>
      <c r="BG496" s="83"/>
      <c r="BH496" s="83"/>
      <c r="BI496" s="83"/>
      <c r="BJ496" s="83"/>
      <c r="BK496" s="83">
        <v>9</v>
      </c>
      <c r="BL496" s="83">
        <v>0</v>
      </c>
      <c r="BM496" s="83">
        <v>0</v>
      </c>
      <c r="BN496" s="83">
        <v>0</v>
      </c>
      <c r="BO496" s="83">
        <v>0</v>
      </c>
      <c r="BP496" s="83">
        <v>0</v>
      </c>
      <c r="BQ496" s="83">
        <v>0</v>
      </c>
      <c r="BR496" s="83">
        <v>0</v>
      </c>
      <c r="BS496" s="83">
        <v>0</v>
      </c>
      <c r="BT496" s="83">
        <v>0</v>
      </c>
      <c r="BU496" s="83">
        <v>1</v>
      </c>
      <c r="BV496" s="83">
        <v>0</v>
      </c>
      <c r="BW496" s="83">
        <v>0</v>
      </c>
      <c r="BX496" s="83">
        <v>0</v>
      </c>
      <c r="BY496" s="83">
        <v>0</v>
      </c>
      <c r="BZ496" s="83">
        <v>0</v>
      </c>
      <c r="CA496" s="83">
        <v>0</v>
      </c>
      <c r="CB496" s="83">
        <v>0</v>
      </c>
      <c r="CC496" s="83">
        <v>0</v>
      </c>
      <c r="CD496" s="83">
        <v>0</v>
      </c>
      <c r="CE496" s="83"/>
      <c r="CF496" s="83" t="s">
        <v>3948</v>
      </c>
      <c r="CG496" s="83" t="s">
        <v>3949</v>
      </c>
      <c r="CH496" s="83"/>
      <c r="CI496" s="83"/>
      <c r="CJ496" s="83"/>
      <c r="CK496" s="144">
        <v>0</v>
      </c>
      <c r="CL496"/>
    </row>
    <row r="497" spans="1:90" s="79" customFormat="1">
      <c r="A497" s="83" t="s">
        <v>3264</v>
      </c>
      <c r="B497" s="83" t="s">
        <v>3265</v>
      </c>
      <c r="C497" s="83"/>
      <c r="D497" s="83" t="s">
        <v>688</v>
      </c>
      <c r="E497" s="83" t="s">
        <v>2641</v>
      </c>
      <c r="F497" s="83" t="s">
        <v>3266</v>
      </c>
      <c r="G497" s="83" t="s">
        <v>2322</v>
      </c>
      <c r="H497" s="83" t="s">
        <v>1201</v>
      </c>
      <c r="I497" s="83" t="s">
        <v>1202</v>
      </c>
      <c r="J497" s="83" t="s">
        <v>1203</v>
      </c>
      <c r="K497" s="83" t="s">
        <v>565</v>
      </c>
      <c r="L497" s="83" t="s">
        <v>398</v>
      </c>
      <c r="M497" s="83" t="s">
        <v>399</v>
      </c>
      <c r="N497" s="83" t="s">
        <v>3248</v>
      </c>
      <c r="O497" s="83" t="s">
        <v>106</v>
      </c>
      <c r="P497" s="83">
        <v>4</v>
      </c>
      <c r="Q497" s="83" t="s">
        <v>106</v>
      </c>
      <c r="R497" s="83" t="s">
        <v>2753</v>
      </c>
      <c r="S497" s="83" t="s">
        <v>2797</v>
      </c>
      <c r="T497" s="83" t="s">
        <v>2843</v>
      </c>
      <c r="U497" s="83" t="s">
        <v>401</v>
      </c>
      <c r="V497" s="97"/>
      <c r="W497" s="97"/>
      <c r="X497" s="97"/>
      <c r="Y497" s="97"/>
      <c r="Z497" s="97"/>
      <c r="AA497" s="97"/>
      <c r="AB497" s="97"/>
      <c r="AC497" s="83" t="s">
        <v>401</v>
      </c>
      <c r="AD497" s="83">
        <v>440000</v>
      </c>
      <c r="AE497" s="83"/>
      <c r="AF497" s="83">
        <v>109000</v>
      </c>
      <c r="AG497" s="83"/>
      <c r="AH497" s="83"/>
      <c r="AI497" s="83"/>
      <c r="AJ497" s="83">
        <v>1</v>
      </c>
      <c r="AK497" s="83">
        <v>1</v>
      </c>
      <c r="AL497" s="83">
        <v>3600</v>
      </c>
      <c r="AM497" s="83" t="s">
        <v>2693</v>
      </c>
      <c r="AN497" s="83"/>
      <c r="AO497" s="83"/>
      <c r="AP497" s="83"/>
      <c r="AQ497" s="83"/>
      <c r="AR497" s="83"/>
      <c r="AS497" s="83"/>
      <c r="AT497" s="83"/>
      <c r="AU497" s="83"/>
      <c r="AV497" s="83"/>
      <c r="AW497" s="83"/>
      <c r="AX497" s="83"/>
      <c r="AY497" s="83"/>
      <c r="AZ497" s="83"/>
      <c r="BA497" s="83"/>
      <c r="BB497" s="83"/>
      <c r="BC497" s="83"/>
      <c r="BD497" s="83"/>
      <c r="BE497" s="83"/>
      <c r="BF497" s="83"/>
      <c r="BG497" s="83"/>
      <c r="BH497" s="83"/>
      <c r="BI497" s="83"/>
      <c r="BJ497" s="83"/>
      <c r="BK497" s="83" t="s">
        <v>2694</v>
      </c>
      <c r="BL497" s="83" t="s">
        <v>2704</v>
      </c>
      <c r="BM497" s="83" t="s">
        <v>2698</v>
      </c>
      <c r="BN497" s="83" t="s">
        <v>2698</v>
      </c>
      <c r="BO497" s="83" t="s">
        <v>2697</v>
      </c>
      <c r="BP497" s="83" t="s">
        <v>2698</v>
      </c>
      <c r="BQ497" s="83" t="s">
        <v>2699</v>
      </c>
      <c r="BR497" s="83" t="s">
        <v>2693</v>
      </c>
      <c r="BS497" s="83" t="s">
        <v>2699</v>
      </c>
      <c r="BT497" s="83" t="s">
        <v>2696</v>
      </c>
      <c r="BU497" s="83" t="s">
        <v>2699</v>
      </c>
      <c r="BV497" s="83" t="s">
        <v>2696</v>
      </c>
      <c r="BW497" s="83" t="s">
        <v>2698</v>
      </c>
      <c r="BX497" s="83" t="s">
        <v>2696</v>
      </c>
      <c r="BY497" s="83" t="s">
        <v>2699</v>
      </c>
      <c r="BZ497" s="83" t="s">
        <v>2693</v>
      </c>
      <c r="CA497" s="83" t="s">
        <v>2693</v>
      </c>
      <c r="CB497" s="83" t="s">
        <v>2694</v>
      </c>
      <c r="CC497" s="83" t="s">
        <v>2699</v>
      </c>
      <c r="CD497" s="83" t="s">
        <v>2696</v>
      </c>
      <c r="CE497" s="83"/>
      <c r="CF497" s="83" t="s">
        <v>3267</v>
      </c>
      <c r="CG497" s="83" t="s">
        <v>3268</v>
      </c>
      <c r="CH497" s="83" t="s">
        <v>2693</v>
      </c>
      <c r="CI497" s="83" t="s">
        <v>3992</v>
      </c>
      <c r="CJ497" s="83" t="s">
        <v>2701</v>
      </c>
      <c r="CK497" s="144">
        <v>0</v>
      </c>
      <c r="CL497" s="99">
        <v>90000</v>
      </c>
    </row>
    <row r="498" spans="1:90" s="79" customFormat="1">
      <c r="A498" s="83" t="s">
        <v>3690</v>
      </c>
      <c r="B498" s="83" t="s">
        <v>3691</v>
      </c>
      <c r="C498" s="83"/>
      <c r="D498" s="83" t="s">
        <v>688</v>
      </c>
      <c r="E498" s="83" t="s">
        <v>3692</v>
      </c>
      <c r="F498" s="83" t="s">
        <v>3693</v>
      </c>
      <c r="G498" s="83" t="s">
        <v>2456</v>
      </c>
      <c r="H498" s="83" t="s">
        <v>1201</v>
      </c>
      <c r="I498" s="83" t="s">
        <v>1202</v>
      </c>
      <c r="J498" s="83" t="s">
        <v>1203</v>
      </c>
      <c r="K498" s="83" t="s">
        <v>565</v>
      </c>
      <c r="L498" s="83" t="s">
        <v>398</v>
      </c>
      <c r="M498" s="83" t="s">
        <v>399</v>
      </c>
      <c r="N498" s="83" t="s">
        <v>3228</v>
      </c>
      <c r="O498" s="83" t="s">
        <v>106</v>
      </c>
      <c r="P498" s="83">
        <v>0</v>
      </c>
      <c r="Q498" s="83" t="s">
        <v>106</v>
      </c>
      <c r="R498" s="83">
        <v>34</v>
      </c>
      <c r="S498" s="87">
        <v>31412</v>
      </c>
      <c r="T498" s="83" t="s">
        <v>2703</v>
      </c>
      <c r="U498" s="83" t="s">
        <v>401</v>
      </c>
      <c r="V498" s="97"/>
      <c r="W498" s="97"/>
      <c r="X498" s="97"/>
      <c r="Y498" s="97"/>
      <c r="Z498" s="97"/>
      <c r="AA498" s="97"/>
      <c r="AB498" s="97"/>
      <c r="AC498" s="83" t="s">
        <v>401</v>
      </c>
      <c r="AD498" s="83">
        <v>0</v>
      </c>
      <c r="AE498" s="83"/>
      <c r="AF498" s="83">
        <v>30000</v>
      </c>
      <c r="AG498" s="83"/>
      <c r="AH498" s="83"/>
      <c r="AI498" s="83"/>
      <c r="AJ498" s="83">
        <v>1</v>
      </c>
      <c r="AK498" s="83">
        <v>0</v>
      </c>
      <c r="AL498" s="83">
        <v>0</v>
      </c>
      <c r="AM498" s="83" t="s">
        <v>2693</v>
      </c>
      <c r="AN498" s="83"/>
      <c r="AO498" s="83"/>
      <c r="AP498" s="83"/>
      <c r="AQ498" s="83"/>
      <c r="AR498" s="83"/>
      <c r="AS498" s="83"/>
      <c r="AT498" s="83"/>
      <c r="AU498" s="83"/>
      <c r="AV498" s="83"/>
      <c r="AW498" s="83"/>
      <c r="AX498" s="83"/>
      <c r="AY498" s="83"/>
      <c r="AZ498" s="83"/>
      <c r="BA498" s="83"/>
      <c r="BB498" s="83"/>
      <c r="BC498" s="83"/>
      <c r="BD498" s="83"/>
      <c r="BE498" s="83"/>
      <c r="BF498" s="83"/>
      <c r="BG498" s="83"/>
      <c r="BH498" s="83"/>
      <c r="BI498" s="83"/>
      <c r="BJ498" s="83"/>
      <c r="BK498" s="83" t="s">
        <v>2696</v>
      </c>
      <c r="BL498" s="83" t="s">
        <v>2696</v>
      </c>
      <c r="BM498" s="83" t="s">
        <v>2696</v>
      </c>
      <c r="BN498" s="83" t="s">
        <v>2696</v>
      </c>
      <c r="BO498" s="83" t="s">
        <v>2696</v>
      </c>
      <c r="BP498" s="83" t="s">
        <v>2696</v>
      </c>
      <c r="BQ498" s="83" t="s">
        <v>2696</v>
      </c>
      <c r="BR498" s="83" t="s">
        <v>2696</v>
      </c>
      <c r="BS498" s="83" t="s">
        <v>2696</v>
      </c>
      <c r="BT498" s="83" t="s">
        <v>2696</v>
      </c>
      <c r="BU498" s="83">
        <v>1</v>
      </c>
      <c r="BV498" s="83" t="s">
        <v>2696</v>
      </c>
      <c r="BW498" s="83" t="s">
        <v>2696</v>
      </c>
      <c r="BX498" s="83" t="s">
        <v>2696</v>
      </c>
      <c r="BY498" s="83" t="s">
        <v>2696</v>
      </c>
      <c r="BZ498" s="83" t="s">
        <v>2696</v>
      </c>
      <c r="CA498" s="83" t="s">
        <v>2696</v>
      </c>
      <c r="CB498" s="83" t="s">
        <v>2696</v>
      </c>
      <c r="CC498" s="83" t="s">
        <v>2696</v>
      </c>
      <c r="CD498" s="83" t="s">
        <v>2696</v>
      </c>
      <c r="CE498" s="83"/>
      <c r="CF498" s="83" t="s">
        <v>3694</v>
      </c>
      <c r="CG498" s="83" t="s">
        <v>3695</v>
      </c>
      <c r="CH498" s="83"/>
      <c r="CI498" s="83"/>
      <c r="CJ498" s="83"/>
      <c r="CK498" s="144">
        <v>0</v>
      </c>
      <c r="CL498"/>
    </row>
    <row r="499" spans="1:90" s="79" customFormat="1">
      <c r="A499" s="83" t="s">
        <v>3776</v>
      </c>
      <c r="B499" s="83" t="s">
        <v>3807</v>
      </c>
      <c r="C499" s="83"/>
      <c r="D499" s="83" t="s">
        <v>688</v>
      </c>
      <c r="E499" s="83" t="s">
        <v>3692</v>
      </c>
      <c r="F499" s="83">
        <v>1320</v>
      </c>
      <c r="G499" s="83" t="s">
        <v>3867</v>
      </c>
      <c r="H499" s="83" t="s">
        <v>1201</v>
      </c>
      <c r="I499" s="83" t="s">
        <v>1202</v>
      </c>
      <c r="J499" s="83" t="s">
        <v>1203</v>
      </c>
      <c r="K499" s="83" t="s">
        <v>565</v>
      </c>
      <c r="L499" s="83" t="s">
        <v>398</v>
      </c>
      <c r="M499" s="83" t="s">
        <v>399</v>
      </c>
      <c r="N499" s="83" t="s">
        <v>2752</v>
      </c>
      <c r="O499" s="83" t="s">
        <v>106</v>
      </c>
      <c r="P499" s="83">
        <v>0</v>
      </c>
      <c r="Q499" s="83" t="s">
        <v>106</v>
      </c>
      <c r="R499" s="83">
        <v>34</v>
      </c>
      <c r="S499" s="87">
        <v>31412</v>
      </c>
      <c r="T499" s="83" t="s">
        <v>2703</v>
      </c>
      <c r="U499" s="83" t="s">
        <v>401</v>
      </c>
      <c r="V499" s="97"/>
      <c r="W499" s="97"/>
      <c r="X499" s="97"/>
      <c r="Y499" s="97"/>
      <c r="Z499" s="97"/>
      <c r="AA499" s="97"/>
      <c r="AB499" s="97"/>
      <c r="AC499" s="83" t="s">
        <v>401</v>
      </c>
      <c r="AD499" s="83">
        <v>0</v>
      </c>
      <c r="AE499" s="83"/>
      <c r="AF499" s="83">
        <v>10000</v>
      </c>
      <c r="AG499" s="83"/>
      <c r="AH499" s="83"/>
      <c r="AI499" s="83"/>
      <c r="AJ499" s="83">
        <v>1</v>
      </c>
      <c r="AK499" s="82">
        <v>0</v>
      </c>
      <c r="AL499" s="83">
        <v>0</v>
      </c>
      <c r="AM499" s="83" t="s">
        <v>2693</v>
      </c>
      <c r="AN499" s="83"/>
      <c r="AO499" s="83"/>
      <c r="AP499" s="83"/>
      <c r="AQ499" s="83"/>
      <c r="AR499" s="83"/>
      <c r="AS499" s="83"/>
      <c r="AT499" s="83"/>
      <c r="AU499" s="83"/>
      <c r="AV499" s="83"/>
      <c r="AW499" s="83"/>
      <c r="AX499" s="83"/>
      <c r="AY499" s="83"/>
      <c r="AZ499" s="83"/>
      <c r="BA499" s="83"/>
      <c r="BB499" s="83"/>
      <c r="BC499" s="83"/>
      <c r="BD499" s="83"/>
      <c r="BE499" s="83"/>
      <c r="BF499" s="83"/>
      <c r="BG499" s="83"/>
      <c r="BH499" s="83"/>
      <c r="BI499" s="83"/>
      <c r="BJ499" s="83"/>
      <c r="BK499" s="83">
        <v>0</v>
      </c>
      <c r="BL499" s="83">
        <v>0</v>
      </c>
      <c r="BM499" s="83">
        <v>0</v>
      </c>
      <c r="BN499" s="83">
        <v>0</v>
      </c>
      <c r="BO499" s="83">
        <v>0</v>
      </c>
      <c r="BP499" s="83">
        <v>0</v>
      </c>
      <c r="BQ499" s="83">
        <v>0</v>
      </c>
      <c r="BR499" s="83">
        <v>0</v>
      </c>
      <c r="BS499" s="83">
        <v>0</v>
      </c>
      <c r="BT499" s="83">
        <v>0</v>
      </c>
      <c r="BU499" s="83">
        <v>1</v>
      </c>
      <c r="BV499" s="83">
        <v>0</v>
      </c>
      <c r="BW499" s="83">
        <v>0</v>
      </c>
      <c r="BX499" s="83">
        <v>0</v>
      </c>
      <c r="BY499" s="83">
        <v>0</v>
      </c>
      <c r="BZ499" s="83">
        <v>0</v>
      </c>
      <c r="CA499" s="83">
        <v>0</v>
      </c>
      <c r="CB499" s="83">
        <v>0</v>
      </c>
      <c r="CC499" s="83">
        <v>0</v>
      </c>
      <c r="CD499" s="83">
        <v>0</v>
      </c>
      <c r="CE499" s="83"/>
      <c r="CF499" s="83" t="s">
        <v>3950</v>
      </c>
      <c r="CG499" s="83" t="s">
        <v>3951</v>
      </c>
      <c r="CH499" s="83"/>
      <c r="CI499" s="83"/>
      <c r="CJ499" s="83"/>
      <c r="CK499" s="144">
        <v>0</v>
      </c>
      <c r="CL499"/>
    </row>
    <row r="500" spans="1:90" s="79" customFormat="1">
      <c r="A500" s="83" t="s">
        <v>3016</v>
      </c>
      <c r="B500" s="83" t="s">
        <v>3808</v>
      </c>
      <c r="C500" s="83"/>
      <c r="D500" s="83" t="s">
        <v>688</v>
      </c>
      <c r="E500" s="83" t="s">
        <v>3808</v>
      </c>
      <c r="F500" s="83">
        <v>4690</v>
      </c>
      <c r="G500" s="83" t="s">
        <v>3868</v>
      </c>
      <c r="H500" s="83" t="s">
        <v>1201</v>
      </c>
      <c r="I500" s="83" t="s">
        <v>1202</v>
      </c>
      <c r="J500" s="83" t="s">
        <v>1203</v>
      </c>
      <c r="K500" s="83" t="s">
        <v>565</v>
      </c>
      <c r="L500" s="83" t="s">
        <v>398</v>
      </c>
      <c r="M500" s="83" t="s">
        <v>399</v>
      </c>
      <c r="N500" s="83" t="s">
        <v>2832</v>
      </c>
      <c r="O500" s="83" t="s">
        <v>106</v>
      </c>
      <c r="P500" s="83">
        <v>0</v>
      </c>
      <c r="Q500" s="83" t="s">
        <v>106</v>
      </c>
      <c r="R500" s="83">
        <v>34</v>
      </c>
      <c r="S500" s="87">
        <v>31412</v>
      </c>
      <c r="T500" s="83" t="s">
        <v>2703</v>
      </c>
      <c r="U500" s="83" t="s">
        <v>401</v>
      </c>
      <c r="V500" s="97"/>
      <c r="W500" s="97"/>
      <c r="X500" s="97"/>
      <c r="Y500" s="97"/>
      <c r="Z500" s="97"/>
      <c r="AA500" s="97"/>
      <c r="AB500" s="97"/>
      <c r="AC500" s="83" t="s">
        <v>401</v>
      </c>
      <c r="AD500" s="83">
        <v>0</v>
      </c>
      <c r="AE500" s="83"/>
      <c r="AF500" s="83">
        <v>70000</v>
      </c>
      <c r="AG500" s="83"/>
      <c r="AH500" s="83"/>
      <c r="AI500" s="83"/>
      <c r="AJ500" s="83">
        <v>1</v>
      </c>
      <c r="AK500" s="82">
        <v>0</v>
      </c>
      <c r="AL500" s="83">
        <v>0</v>
      </c>
      <c r="AM500" s="83" t="s">
        <v>2693</v>
      </c>
      <c r="AN500" s="83"/>
      <c r="AO500" s="83"/>
      <c r="AP500" s="83"/>
      <c r="AQ500" s="83"/>
      <c r="AR500" s="83"/>
      <c r="AS500" s="83"/>
      <c r="AT500" s="83"/>
      <c r="AU500" s="83"/>
      <c r="AV500" s="83"/>
      <c r="AW500" s="83"/>
      <c r="AX500" s="83"/>
      <c r="AY500" s="83"/>
      <c r="AZ500" s="83"/>
      <c r="BA500" s="83"/>
      <c r="BB500" s="83"/>
      <c r="BC500" s="83"/>
      <c r="BD500" s="83"/>
      <c r="BE500" s="83"/>
      <c r="BF500" s="83"/>
      <c r="BG500" s="83"/>
      <c r="BH500" s="83"/>
      <c r="BI500" s="83"/>
      <c r="BJ500" s="83"/>
      <c r="BK500" s="83">
        <v>0</v>
      </c>
      <c r="BL500" s="83">
        <v>0</v>
      </c>
      <c r="BM500" s="83">
        <v>0</v>
      </c>
      <c r="BN500" s="83">
        <v>0</v>
      </c>
      <c r="BO500" s="83">
        <v>0</v>
      </c>
      <c r="BP500" s="83">
        <v>0</v>
      </c>
      <c r="BQ500" s="83">
        <v>0</v>
      </c>
      <c r="BR500" s="83">
        <v>0</v>
      </c>
      <c r="BS500" s="83">
        <v>0</v>
      </c>
      <c r="BT500" s="83">
        <v>0</v>
      </c>
      <c r="BU500" s="83">
        <v>1</v>
      </c>
      <c r="BV500" s="83">
        <v>0</v>
      </c>
      <c r="BW500" s="83">
        <v>0</v>
      </c>
      <c r="BX500" s="83">
        <v>0</v>
      </c>
      <c r="BY500" s="83">
        <v>0</v>
      </c>
      <c r="BZ500" s="83">
        <v>0</v>
      </c>
      <c r="CA500" s="83">
        <v>0</v>
      </c>
      <c r="CB500" s="83">
        <v>0</v>
      </c>
      <c r="CC500" s="83">
        <v>0</v>
      </c>
      <c r="CD500" s="83">
        <v>0</v>
      </c>
      <c r="CE500" s="83"/>
      <c r="CF500" s="83" t="s">
        <v>3952</v>
      </c>
      <c r="CG500" s="83" t="s">
        <v>3953</v>
      </c>
      <c r="CH500" s="83"/>
      <c r="CI500" s="83"/>
      <c r="CJ500" s="83"/>
      <c r="CK500" s="144">
        <v>0</v>
      </c>
      <c r="CL500"/>
    </row>
    <row r="501" spans="1:90" s="79" customFormat="1">
      <c r="A501" s="83" t="s">
        <v>3777</v>
      </c>
      <c r="B501" s="83" t="s">
        <v>3809</v>
      </c>
      <c r="C501" s="83"/>
      <c r="D501" s="83" t="s">
        <v>688</v>
      </c>
      <c r="E501" s="83" t="s">
        <v>3839</v>
      </c>
      <c r="F501" s="83" t="s">
        <v>3853</v>
      </c>
      <c r="G501" s="83" t="s">
        <v>1847</v>
      </c>
      <c r="H501" s="83" t="s">
        <v>1201</v>
      </c>
      <c r="I501" s="83" t="s">
        <v>1202</v>
      </c>
      <c r="J501" s="83" t="s">
        <v>1203</v>
      </c>
      <c r="K501" s="83" t="s">
        <v>565</v>
      </c>
      <c r="L501" s="83" t="s">
        <v>398</v>
      </c>
      <c r="M501" s="83" t="s">
        <v>399</v>
      </c>
      <c r="N501" s="83" t="s">
        <v>2743</v>
      </c>
      <c r="O501" s="83" t="s">
        <v>106</v>
      </c>
      <c r="P501" s="83">
        <v>0</v>
      </c>
      <c r="Q501" s="83" t="s">
        <v>106</v>
      </c>
      <c r="R501" s="83">
        <v>24</v>
      </c>
      <c r="S501" s="87">
        <v>31412</v>
      </c>
      <c r="T501" s="83" t="s">
        <v>2703</v>
      </c>
      <c r="U501" s="83" t="s">
        <v>401</v>
      </c>
      <c r="V501" s="97"/>
      <c r="W501" s="97"/>
      <c r="X501" s="97"/>
      <c r="Y501" s="97"/>
      <c r="Z501" s="97"/>
      <c r="AA501" s="97"/>
      <c r="AB501" s="97"/>
      <c r="AC501" s="83" t="s">
        <v>401</v>
      </c>
      <c r="AD501" s="83">
        <v>0</v>
      </c>
      <c r="AE501" s="83"/>
      <c r="AF501" s="83">
        <v>260000</v>
      </c>
      <c r="AG501" s="83"/>
      <c r="AH501" s="83"/>
      <c r="AI501" s="83"/>
      <c r="AJ501" s="83">
        <v>1</v>
      </c>
      <c r="AK501" s="82">
        <v>0</v>
      </c>
      <c r="AL501" s="83">
        <v>0</v>
      </c>
      <c r="AM501" s="83" t="s">
        <v>2693</v>
      </c>
      <c r="AN501" s="83"/>
      <c r="AO501" s="83"/>
      <c r="AP501" s="83"/>
      <c r="AQ501" s="83"/>
      <c r="AR501" s="83"/>
      <c r="AS501" s="83"/>
      <c r="AT501" s="83"/>
      <c r="AU501" s="83"/>
      <c r="AV501" s="83"/>
      <c r="AW501" s="83"/>
      <c r="AX501" s="83"/>
      <c r="AY501" s="83"/>
      <c r="AZ501" s="83"/>
      <c r="BA501" s="83"/>
      <c r="BB501" s="83"/>
      <c r="BC501" s="83"/>
      <c r="BD501" s="83"/>
      <c r="BE501" s="83"/>
      <c r="BF501" s="83"/>
      <c r="BG501" s="83"/>
      <c r="BH501" s="83"/>
      <c r="BI501" s="83"/>
      <c r="BJ501" s="83"/>
      <c r="BK501" s="83">
        <v>0</v>
      </c>
      <c r="BL501" s="83">
        <v>0</v>
      </c>
      <c r="BM501" s="83">
        <v>0</v>
      </c>
      <c r="BN501" s="83">
        <v>0</v>
      </c>
      <c r="BO501" s="83">
        <v>0</v>
      </c>
      <c r="BP501" s="83">
        <v>0</v>
      </c>
      <c r="BQ501" s="83">
        <v>0</v>
      </c>
      <c r="BR501" s="83">
        <v>0</v>
      </c>
      <c r="BS501" s="83">
        <v>0</v>
      </c>
      <c r="BT501" s="83">
        <v>0</v>
      </c>
      <c r="BU501" s="83">
        <v>1</v>
      </c>
      <c r="BV501" s="83">
        <v>0</v>
      </c>
      <c r="BW501" s="83">
        <v>0</v>
      </c>
      <c r="BX501" s="83">
        <v>0</v>
      </c>
      <c r="BY501" s="83">
        <v>0</v>
      </c>
      <c r="BZ501" s="83">
        <v>0</v>
      </c>
      <c r="CA501" s="83">
        <v>0</v>
      </c>
      <c r="CB501" s="83">
        <v>0</v>
      </c>
      <c r="CC501" s="83">
        <v>0</v>
      </c>
      <c r="CD501" s="83">
        <v>0</v>
      </c>
      <c r="CE501" s="83"/>
      <c r="CF501" s="83" t="s">
        <v>3954</v>
      </c>
      <c r="CG501" s="83" t="s">
        <v>3955</v>
      </c>
      <c r="CH501" s="83"/>
      <c r="CI501" s="83"/>
      <c r="CJ501" s="83"/>
      <c r="CK501" s="144">
        <v>0</v>
      </c>
      <c r="CL501"/>
    </row>
    <row r="502" spans="1:90" s="79" customFormat="1">
      <c r="A502" s="83" t="s">
        <v>2907</v>
      </c>
      <c r="B502" s="83" t="s">
        <v>722</v>
      </c>
      <c r="C502" s="83"/>
      <c r="D502" s="83" t="s">
        <v>688</v>
      </c>
      <c r="E502" s="83" t="s">
        <v>2499</v>
      </c>
      <c r="F502" s="83" t="s">
        <v>723</v>
      </c>
      <c r="G502" s="83" t="s">
        <v>1900</v>
      </c>
      <c r="H502" s="83" t="s">
        <v>1201</v>
      </c>
      <c r="I502" s="83" t="s">
        <v>1202</v>
      </c>
      <c r="J502" s="83" t="s">
        <v>1203</v>
      </c>
      <c r="K502" s="83" t="s">
        <v>565</v>
      </c>
      <c r="L502" s="83" t="s">
        <v>398</v>
      </c>
      <c r="M502" s="83" t="s">
        <v>399</v>
      </c>
      <c r="N502" s="83" t="s">
        <v>2899</v>
      </c>
      <c r="O502" s="83" t="s">
        <v>106</v>
      </c>
      <c r="P502" s="83">
        <v>9</v>
      </c>
      <c r="Q502" s="83" t="s">
        <v>106</v>
      </c>
      <c r="R502" s="83" t="s">
        <v>2727</v>
      </c>
      <c r="S502" s="83" t="s">
        <v>2904</v>
      </c>
      <c r="T502" s="83" t="s">
        <v>2843</v>
      </c>
      <c r="U502" s="83" t="s">
        <v>401</v>
      </c>
      <c r="V502" s="97"/>
      <c r="W502" s="97"/>
      <c r="X502" s="97"/>
      <c r="Y502" s="97"/>
      <c r="Z502" s="97"/>
      <c r="AA502" s="97"/>
      <c r="AB502" s="97"/>
      <c r="AC502" s="83" t="s">
        <v>401</v>
      </c>
      <c r="AD502" s="83">
        <v>864000</v>
      </c>
      <c r="AE502" s="83"/>
      <c r="AF502" s="83">
        <v>362000</v>
      </c>
      <c r="AG502" s="83"/>
      <c r="AH502" s="83"/>
      <c r="AI502" s="83"/>
      <c r="AJ502" s="83">
        <v>1</v>
      </c>
      <c r="AK502" s="83">
        <v>1</v>
      </c>
      <c r="AL502" s="83">
        <v>14000</v>
      </c>
      <c r="AM502" s="83" t="s">
        <v>2693</v>
      </c>
      <c r="AN502" s="83"/>
      <c r="AO502" s="83"/>
      <c r="AP502" s="83"/>
      <c r="AQ502" s="83"/>
      <c r="AR502" s="83"/>
      <c r="AS502" s="83"/>
      <c r="AT502" s="83"/>
      <c r="AU502" s="83"/>
      <c r="AV502" s="83"/>
      <c r="AW502" s="83"/>
      <c r="AX502" s="83"/>
      <c r="AY502" s="83"/>
      <c r="AZ502" s="83"/>
      <c r="BA502" s="83"/>
      <c r="BB502" s="83"/>
      <c r="BC502" s="83"/>
      <c r="BD502" s="83"/>
      <c r="BE502" s="83"/>
      <c r="BF502" s="83"/>
      <c r="BG502" s="83"/>
      <c r="BH502" s="83"/>
      <c r="BI502" s="83"/>
      <c r="BJ502" s="83"/>
      <c r="BK502" s="83" t="s">
        <v>2694</v>
      </c>
      <c r="BL502" s="83" t="s">
        <v>2693</v>
      </c>
      <c r="BM502" s="83" t="s">
        <v>2698</v>
      </c>
      <c r="BN502" s="83" t="s">
        <v>2698</v>
      </c>
      <c r="BO502" s="83" t="s">
        <v>2697</v>
      </c>
      <c r="BP502" s="83" t="s">
        <v>2697</v>
      </c>
      <c r="BQ502" s="83" t="s">
        <v>2699</v>
      </c>
      <c r="BR502" s="83" t="s">
        <v>2693</v>
      </c>
      <c r="BS502" s="83" t="s">
        <v>2699</v>
      </c>
      <c r="BT502" s="83" t="s">
        <v>2696</v>
      </c>
      <c r="BU502" s="83" t="s">
        <v>2699</v>
      </c>
      <c r="BV502" s="83" t="s">
        <v>2696</v>
      </c>
      <c r="BW502" s="83" t="s">
        <v>2698</v>
      </c>
      <c r="BX502" s="83" t="s">
        <v>2696</v>
      </c>
      <c r="BY502" s="83" t="s">
        <v>2699</v>
      </c>
      <c r="BZ502" s="83" t="s">
        <v>2693</v>
      </c>
      <c r="CA502" s="83" t="s">
        <v>2693</v>
      </c>
      <c r="CB502" s="83" t="s">
        <v>2694</v>
      </c>
      <c r="CC502" s="83" t="s">
        <v>2699</v>
      </c>
      <c r="CD502" s="83" t="s">
        <v>2699</v>
      </c>
      <c r="CE502" s="83"/>
      <c r="CF502" s="83" t="s">
        <v>1018</v>
      </c>
      <c r="CG502" s="83" t="s">
        <v>2908</v>
      </c>
      <c r="CH502" s="83" t="s">
        <v>2697</v>
      </c>
      <c r="CI502" s="83">
        <v>4</v>
      </c>
      <c r="CJ502" s="83" t="s">
        <v>2757</v>
      </c>
      <c r="CK502" s="144">
        <v>0</v>
      </c>
      <c r="CL502"/>
    </row>
    <row r="503" spans="1:90" s="79" customFormat="1">
      <c r="A503" s="83" t="s">
        <v>2902</v>
      </c>
      <c r="B503" s="83" t="s">
        <v>721</v>
      </c>
      <c r="C503" s="83"/>
      <c r="D503" s="83" t="s">
        <v>688</v>
      </c>
      <c r="E503" s="83" t="s">
        <v>674</v>
      </c>
      <c r="F503" s="83" t="s">
        <v>2903</v>
      </c>
      <c r="G503" s="83" t="s">
        <v>1900</v>
      </c>
      <c r="H503" s="83" t="s">
        <v>1201</v>
      </c>
      <c r="I503" s="83" t="s">
        <v>1202</v>
      </c>
      <c r="J503" s="83" t="s">
        <v>1203</v>
      </c>
      <c r="K503" s="83" t="s">
        <v>565</v>
      </c>
      <c r="L503" s="83" t="s">
        <v>398</v>
      </c>
      <c r="M503" s="83" t="s">
        <v>399</v>
      </c>
      <c r="N503" s="83" t="s">
        <v>2899</v>
      </c>
      <c r="O503" s="83" t="s">
        <v>106</v>
      </c>
      <c r="P503" s="83">
        <v>8</v>
      </c>
      <c r="Q503" s="83" t="s">
        <v>106</v>
      </c>
      <c r="R503" s="83" t="s">
        <v>2727</v>
      </c>
      <c r="S503" s="83" t="s">
        <v>2904</v>
      </c>
      <c r="T503" s="83" t="s">
        <v>2843</v>
      </c>
      <c r="U503" s="83" t="s">
        <v>401</v>
      </c>
      <c r="V503" s="97"/>
      <c r="W503" s="97"/>
      <c r="X503" s="97"/>
      <c r="Y503" s="97"/>
      <c r="Z503" s="97"/>
      <c r="AA503" s="97"/>
      <c r="AB503" s="97"/>
      <c r="AC503" s="83" t="s">
        <v>401</v>
      </c>
      <c r="AD503" s="83">
        <v>2941000</v>
      </c>
      <c r="AE503" s="83"/>
      <c r="AF503" s="83">
        <v>1300000</v>
      </c>
      <c r="AG503" s="83"/>
      <c r="AH503" s="83"/>
      <c r="AI503" s="83"/>
      <c r="AJ503" s="83">
        <v>1</v>
      </c>
      <c r="AK503" s="83">
        <v>1</v>
      </c>
      <c r="AL503" s="83">
        <v>50294</v>
      </c>
      <c r="AM503" s="83" t="s">
        <v>2693</v>
      </c>
      <c r="AN503" s="83"/>
      <c r="AO503" s="83"/>
      <c r="AP503" s="83"/>
      <c r="AQ503" s="83"/>
      <c r="AR503" s="83"/>
      <c r="AS503" s="83"/>
      <c r="AT503" s="83"/>
      <c r="AU503" s="83"/>
      <c r="AV503" s="83"/>
      <c r="AW503" s="83"/>
      <c r="AX503" s="83"/>
      <c r="AY503" s="83"/>
      <c r="AZ503" s="83"/>
      <c r="BA503" s="83"/>
      <c r="BB503" s="83"/>
      <c r="BC503" s="83"/>
      <c r="BD503" s="83"/>
      <c r="BE503" s="83"/>
      <c r="BF503" s="83"/>
      <c r="BG503" s="83"/>
      <c r="BH503" s="83"/>
      <c r="BI503" s="83"/>
      <c r="BJ503" s="83"/>
      <c r="BK503" s="83" t="s">
        <v>2694</v>
      </c>
      <c r="BL503" s="83" t="s">
        <v>2697</v>
      </c>
      <c r="BM503" s="83" t="s">
        <v>2699</v>
      </c>
      <c r="BN503" s="83" t="s">
        <v>2698</v>
      </c>
      <c r="BO503" s="83" t="s">
        <v>2697</v>
      </c>
      <c r="BP503" s="83" t="s">
        <v>2697</v>
      </c>
      <c r="BQ503" s="83" t="s">
        <v>2699</v>
      </c>
      <c r="BR503" s="83" t="s">
        <v>2699</v>
      </c>
      <c r="BS503" s="83" t="s">
        <v>2699</v>
      </c>
      <c r="BT503" s="83" t="s">
        <v>2696</v>
      </c>
      <c r="BU503" s="83" t="s">
        <v>2699</v>
      </c>
      <c r="BV503" s="83" t="s">
        <v>2696</v>
      </c>
      <c r="BW503" s="83" t="s">
        <v>2698</v>
      </c>
      <c r="BX503" s="83" t="s">
        <v>2696</v>
      </c>
      <c r="BY503" s="83" t="s">
        <v>2699</v>
      </c>
      <c r="BZ503" s="83" t="s">
        <v>2693</v>
      </c>
      <c r="CA503" s="83" t="s">
        <v>2693</v>
      </c>
      <c r="CB503" s="83" t="s">
        <v>2694</v>
      </c>
      <c r="CC503" s="83" t="s">
        <v>2699</v>
      </c>
      <c r="CD503" s="83" t="s">
        <v>2696</v>
      </c>
      <c r="CE503" s="83"/>
      <c r="CF503" s="83" t="s">
        <v>2905</v>
      </c>
      <c r="CG503" s="83" t="s">
        <v>2906</v>
      </c>
      <c r="CH503" s="83" t="s">
        <v>2695</v>
      </c>
      <c r="CI503" s="83" t="s">
        <v>648</v>
      </c>
      <c r="CJ503" s="83" t="s">
        <v>2726</v>
      </c>
      <c r="CK503" s="144">
        <v>1</v>
      </c>
      <c r="CL503" s="99">
        <v>7000</v>
      </c>
    </row>
    <row r="504" spans="1:90" s="79" customFormat="1">
      <c r="A504" s="83" t="s">
        <v>3778</v>
      </c>
      <c r="B504" s="83" t="s">
        <v>709</v>
      </c>
      <c r="C504" s="83"/>
      <c r="D504" s="83" t="s">
        <v>688</v>
      </c>
      <c r="E504" s="83" t="s">
        <v>3840</v>
      </c>
      <c r="F504" s="83" t="s">
        <v>3854</v>
      </c>
      <c r="G504" s="83" t="s">
        <v>1847</v>
      </c>
      <c r="H504" s="83" t="s">
        <v>1201</v>
      </c>
      <c r="I504" s="83" t="s">
        <v>1202</v>
      </c>
      <c r="J504" s="83" t="s">
        <v>1203</v>
      </c>
      <c r="K504" s="83" t="s">
        <v>565</v>
      </c>
      <c r="L504" s="83" t="s">
        <v>398</v>
      </c>
      <c r="M504" s="83" t="s">
        <v>399</v>
      </c>
      <c r="N504" s="83" t="s">
        <v>2743</v>
      </c>
      <c r="O504" s="83" t="s">
        <v>106</v>
      </c>
      <c r="P504" s="83">
        <v>0</v>
      </c>
      <c r="Q504" s="83" t="s">
        <v>106</v>
      </c>
      <c r="R504" s="83">
        <v>24</v>
      </c>
      <c r="S504" s="87">
        <v>30316</v>
      </c>
      <c r="T504" s="83" t="s">
        <v>2703</v>
      </c>
      <c r="U504" s="83" t="s">
        <v>401</v>
      </c>
      <c r="V504" s="97"/>
      <c r="W504" s="97"/>
      <c r="X504" s="97"/>
      <c r="Y504" s="97"/>
      <c r="Z504" s="97"/>
      <c r="AA504" s="97"/>
      <c r="AB504" s="97"/>
      <c r="AC504" s="83" t="s">
        <v>401</v>
      </c>
      <c r="AD504" s="83">
        <v>0</v>
      </c>
      <c r="AE504" s="83"/>
      <c r="AF504" s="83">
        <v>70000</v>
      </c>
      <c r="AG504" s="83"/>
      <c r="AH504" s="83"/>
      <c r="AI504" s="83"/>
      <c r="AJ504" s="83">
        <v>1</v>
      </c>
      <c r="AK504" s="82">
        <v>0</v>
      </c>
      <c r="AL504" s="83">
        <v>0</v>
      </c>
      <c r="AM504" s="83" t="s">
        <v>2693</v>
      </c>
      <c r="AN504" s="83"/>
      <c r="AO504" s="83"/>
      <c r="AP504" s="83"/>
      <c r="AQ504" s="83"/>
      <c r="AR504" s="83"/>
      <c r="AS504" s="83"/>
      <c r="AT504" s="83"/>
      <c r="AU504" s="83"/>
      <c r="AV504" s="83"/>
      <c r="AW504" s="83"/>
      <c r="AX504" s="83"/>
      <c r="AY504" s="83"/>
      <c r="AZ504" s="83"/>
      <c r="BA504" s="83"/>
      <c r="BB504" s="83"/>
      <c r="BC504" s="83"/>
      <c r="BD504" s="83"/>
      <c r="BE504" s="83"/>
      <c r="BF504" s="83"/>
      <c r="BG504" s="83"/>
      <c r="BH504" s="83"/>
      <c r="BI504" s="83"/>
      <c r="BJ504" s="83"/>
      <c r="BK504" s="83">
        <v>0</v>
      </c>
      <c r="BL504" s="83">
        <v>0</v>
      </c>
      <c r="BM504" s="83">
        <v>0</v>
      </c>
      <c r="BN504" s="83">
        <v>0</v>
      </c>
      <c r="BO504" s="83">
        <v>0</v>
      </c>
      <c r="BP504" s="83">
        <v>0</v>
      </c>
      <c r="BQ504" s="83">
        <v>0</v>
      </c>
      <c r="BR504" s="83">
        <v>0</v>
      </c>
      <c r="BS504" s="83">
        <v>0</v>
      </c>
      <c r="BT504" s="83">
        <v>0</v>
      </c>
      <c r="BU504" s="83">
        <v>1</v>
      </c>
      <c r="BV504" s="83">
        <v>0</v>
      </c>
      <c r="BW504" s="83">
        <v>0</v>
      </c>
      <c r="BX504" s="83">
        <v>0</v>
      </c>
      <c r="BY504" s="83">
        <v>0</v>
      </c>
      <c r="BZ504" s="83">
        <v>0</v>
      </c>
      <c r="CA504" s="83">
        <v>0</v>
      </c>
      <c r="CB504" s="83">
        <v>0</v>
      </c>
      <c r="CC504" s="83">
        <v>0</v>
      </c>
      <c r="CD504" s="83">
        <v>0</v>
      </c>
      <c r="CE504" s="83"/>
      <c r="CF504" s="83" t="s">
        <v>3956</v>
      </c>
      <c r="CG504" s="83" t="s">
        <v>3957</v>
      </c>
      <c r="CH504" s="83"/>
      <c r="CI504" s="83"/>
      <c r="CJ504" s="83"/>
      <c r="CK504" s="144">
        <v>0</v>
      </c>
      <c r="CL504"/>
    </row>
    <row r="505" spans="1:90" s="79" customFormat="1">
      <c r="A505" s="83" t="s">
        <v>3210</v>
      </c>
      <c r="B505" s="83" t="s">
        <v>709</v>
      </c>
      <c r="C505" s="83"/>
      <c r="D505" s="83" t="s">
        <v>688</v>
      </c>
      <c r="E505" s="83" t="s">
        <v>2658</v>
      </c>
      <c r="F505" s="83" t="s">
        <v>3211</v>
      </c>
      <c r="G505" s="83" t="s">
        <v>2312</v>
      </c>
      <c r="H505" s="83" t="s">
        <v>1201</v>
      </c>
      <c r="I505" s="83" t="s">
        <v>1202</v>
      </c>
      <c r="J505" s="83" t="s">
        <v>1203</v>
      </c>
      <c r="K505" s="83" t="s">
        <v>565</v>
      </c>
      <c r="L505" s="83" t="s">
        <v>398</v>
      </c>
      <c r="M505" s="83" t="s">
        <v>399</v>
      </c>
      <c r="N505" s="83" t="s">
        <v>2833</v>
      </c>
      <c r="O505" s="83" t="s">
        <v>106</v>
      </c>
      <c r="P505" s="83">
        <v>0</v>
      </c>
      <c r="Q505" s="83" t="s">
        <v>106</v>
      </c>
      <c r="R505" s="83" t="s">
        <v>2753</v>
      </c>
      <c r="S505" s="87">
        <v>31412</v>
      </c>
      <c r="T505" s="83" t="s">
        <v>2843</v>
      </c>
      <c r="U505" s="83" t="s">
        <v>401</v>
      </c>
      <c r="V505" s="97"/>
      <c r="W505" s="97"/>
      <c r="X505" s="97"/>
      <c r="Y505" s="97"/>
      <c r="Z505" s="97"/>
      <c r="AA505" s="97"/>
      <c r="AB505" s="97"/>
      <c r="AC505" s="83" t="s">
        <v>401</v>
      </c>
      <c r="AD505" s="83">
        <v>0</v>
      </c>
      <c r="AE505" s="83"/>
      <c r="AF505" s="83">
        <v>80000</v>
      </c>
      <c r="AG505" s="83"/>
      <c r="AH505" s="83"/>
      <c r="AI505" s="83"/>
      <c r="AJ505" s="83">
        <v>1</v>
      </c>
      <c r="AK505" s="83">
        <v>0</v>
      </c>
      <c r="AL505" s="83">
        <v>0</v>
      </c>
      <c r="AM505" s="83" t="s">
        <v>2693</v>
      </c>
      <c r="AN505" s="83"/>
      <c r="AO505" s="83"/>
      <c r="AP505" s="83"/>
      <c r="AQ505" s="83"/>
      <c r="AR505" s="83"/>
      <c r="AS505" s="83"/>
      <c r="AT505" s="83"/>
      <c r="AU505" s="83"/>
      <c r="AV505" s="83"/>
      <c r="AW505" s="83"/>
      <c r="AX505" s="83"/>
      <c r="AY505" s="83"/>
      <c r="AZ505" s="83"/>
      <c r="BA505" s="83"/>
      <c r="BB505" s="83"/>
      <c r="BC505" s="83"/>
      <c r="BD505" s="83"/>
      <c r="BE505" s="83"/>
      <c r="BF505" s="83"/>
      <c r="BG505" s="83"/>
      <c r="BH505" s="83"/>
      <c r="BI505" s="83"/>
      <c r="BJ505" s="83"/>
      <c r="BK505" s="83">
        <v>0</v>
      </c>
      <c r="BL505" s="83">
        <v>0</v>
      </c>
      <c r="BM505" s="83">
        <v>0</v>
      </c>
      <c r="BN505" s="83">
        <v>0</v>
      </c>
      <c r="BO505" s="83">
        <v>0</v>
      </c>
      <c r="BP505" s="83">
        <v>0</v>
      </c>
      <c r="BQ505" s="83">
        <v>0</v>
      </c>
      <c r="BR505" s="83">
        <v>0</v>
      </c>
      <c r="BS505" s="83">
        <v>0</v>
      </c>
      <c r="BT505" s="83">
        <v>0</v>
      </c>
      <c r="BU505" s="83">
        <v>1</v>
      </c>
      <c r="BV505" s="83">
        <v>0</v>
      </c>
      <c r="BW505" s="83">
        <v>0</v>
      </c>
      <c r="BX505" s="83">
        <v>0</v>
      </c>
      <c r="BY505" s="83">
        <v>0</v>
      </c>
      <c r="BZ505" s="83">
        <v>0</v>
      </c>
      <c r="CA505" s="83">
        <v>0</v>
      </c>
      <c r="CB505" s="83">
        <v>0</v>
      </c>
      <c r="CC505" s="83">
        <v>0</v>
      </c>
      <c r="CD505" s="83">
        <v>0</v>
      </c>
      <c r="CE505" s="83"/>
      <c r="CF505" s="83" t="s">
        <v>3212</v>
      </c>
      <c r="CG505" s="83" t="s">
        <v>3213</v>
      </c>
      <c r="CH505" s="83"/>
      <c r="CI505" s="83"/>
      <c r="CJ505" s="83"/>
      <c r="CK505" s="144">
        <v>0</v>
      </c>
      <c r="CL505"/>
    </row>
    <row r="506" spans="1:90" s="79" customFormat="1">
      <c r="A506" s="83" t="s">
        <v>3779</v>
      </c>
      <c r="B506" s="83" t="s">
        <v>709</v>
      </c>
      <c r="C506" s="83"/>
      <c r="D506" s="83" t="s">
        <v>688</v>
      </c>
      <c r="E506" s="83" t="s">
        <v>3841</v>
      </c>
      <c r="F506" s="79">
        <v>3726</v>
      </c>
      <c r="G506" s="83" t="s">
        <v>3869</v>
      </c>
      <c r="H506" s="83" t="s">
        <v>1201</v>
      </c>
      <c r="I506" s="83" t="s">
        <v>1202</v>
      </c>
      <c r="J506" s="83" t="s">
        <v>1203</v>
      </c>
      <c r="K506" s="83" t="s">
        <v>565</v>
      </c>
      <c r="L506" s="83" t="s">
        <v>398</v>
      </c>
      <c r="M506" s="83" t="s">
        <v>399</v>
      </c>
      <c r="N506" s="83" t="s">
        <v>2735</v>
      </c>
      <c r="O506" s="83" t="s">
        <v>106</v>
      </c>
      <c r="P506" s="83">
        <v>0</v>
      </c>
      <c r="Q506" s="83" t="s">
        <v>106</v>
      </c>
      <c r="R506" s="83">
        <v>24</v>
      </c>
      <c r="S506" s="87">
        <v>30316</v>
      </c>
      <c r="T506" s="83" t="s">
        <v>2703</v>
      </c>
      <c r="U506" s="83" t="s">
        <v>401</v>
      </c>
      <c r="V506" s="97"/>
      <c r="W506" s="97"/>
      <c r="X506" s="97"/>
      <c r="Y506" s="97"/>
      <c r="Z506" s="97"/>
      <c r="AA506" s="97"/>
      <c r="AB506" s="97"/>
      <c r="AC506" s="83" t="s">
        <v>401</v>
      </c>
      <c r="AD506" s="83">
        <v>0</v>
      </c>
      <c r="AE506" s="83"/>
      <c r="AF506" s="83">
        <v>80000</v>
      </c>
      <c r="AG506" s="83"/>
      <c r="AH506" s="83"/>
      <c r="AI506" s="83"/>
      <c r="AJ506" s="83">
        <v>1</v>
      </c>
      <c r="AK506" s="82">
        <v>0</v>
      </c>
      <c r="AL506" s="83">
        <v>0</v>
      </c>
      <c r="AM506" s="83" t="s">
        <v>2693</v>
      </c>
      <c r="AN506" s="83"/>
      <c r="AO506" s="83"/>
      <c r="AP506" s="83"/>
      <c r="AQ506" s="83"/>
      <c r="AR506" s="83"/>
      <c r="AS506" s="83"/>
      <c r="AT506" s="83"/>
      <c r="AU506" s="83"/>
      <c r="AV506" s="83"/>
      <c r="AW506" s="83"/>
      <c r="AX506" s="83"/>
      <c r="AY506" s="83"/>
      <c r="AZ506" s="83"/>
      <c r="BA506" s="83"/>
      <c r="BB506" s="83"/>
      <c r="BC506" s="83"/>
      <c r="BD506" s="83"/>
      <c r="BE506" s="83"/>
      <c r="BF506" s="83"/>
      <c r="BG506" s="83"/>
      <c r="BH506" s="83"/>
      <c r="BI506" s="83"/>
      <c r="BJ506" s="83"/>
      <c r="BK506" s="83">
        <v>0</v>
      </c>
      <c r="BL506" s="83">
        <v>0</v>
      </c>
      <c r="BM506" s="83">
        <v>0</v>
      </c>
      <c r="BN506" s="83">
        <v>0</v>
      </c>
      <c r="BO506" s="83">
        <v>0</v>
      </c>
      <c r="BP506" s="83">
        <v>0</v>
      </c>
      <c r="BQ506" s="83">
        <v>0</v>
      </c>
      <c r="BR506" s="83">
        <v>0</v>
      </c>
      <c r="BS506" s="83">
        <v>0</v>
      </c>
      <c r="BT506" s="83">
        <v>0</v>
      </c>
      <c r="BU506" s="83">
        <v>1</v>
      </c>
      <c r="BV506" s="83">
        <v>0</v>
      </c>
      <c r="BW506" s="83">
        <v>0</v>
      </c>
      <c r="BX506" s="83">
        <v>0</v>
      </c>
      <c r="BY506" s="83">
        <v>0</v>
      </c>
      <c r="BZ506" s="83">
        <v>0</v>
      </c>
      <c r="CA506" s="83">
        <v>0</v>
      </c>
      <c r="CB506" s="83">
        <v>0</v>
      </c>
      <c r="CC506" s="83">
        <v>0</v>
      </c>
      <c r="CD506" s="83">
        <v>0</v>
      </c>
      <c r="CE506" s="83"/>
      <c r="CF506" s="83" t="s">
        <v>3958</v>
      </c>
      <c r="CG506" s="83" t="s">
        <v>3959</v>
      </c>
      <c r="CH506" s="83"/>
      <c r="CI506" s="83"/>
      <c r="CJ506" s="83"/>
      <c r="CK506" s="144">
        <v>0</v>
      </c>
      <c r="CL506"/>
    </row>
    <row r="507" spans="1:90" s="79" customFormat="1">
      <c r="A507" s="83" t="s">
        <v>3355</v>
      </c>
      <c r="B507" s="83" t="s">
        <v>1068</v>
      </c>
      <c r="C507" s="83"/>
      <c r="D507" s="83" t="s">
        <v>688</v>
      </c>
      <c r="E507" s="83" t="s">
        <v>699</v>
      </c>
      <c r="F507" s="83" t="s">
        <v>3356</v>
      </c>
      <c r="G507" s="83" t="s">
        <v>2339</v>
      </c>
      <c r="H507" s="83" t="s">
        <v>1201</v>
      </c>
      <c r="I507" s="83" t="s">
        <v>1202</v>
      </c>
      <c r="J507" s="83" t="s">
        <v>1203</v>
      </c>
      <c r="K507" s="83" t="s">
        <v>565</v>
      </c>
      <c r="L507" s="83" t="s">
        <v>398</v>
      </c>
      <c r="M507" s="83" t="s">
        <v>399</v>
      </c>
      <c r="N507" s="83" t="s">
        <v>3357</v>
      </c>
      <c r="O507" s="83" t="s">
        <v>106</v>
      </c>
      <c r="P507" s="83">
        <v>8</v>
      </c>
      <c r="Q507" s="83" t="s">
        <v>106</v>
      </c>
      <c r="R507" s="83" t="s">
        <v>2730</v>
      </c>
      <c r="S507" s="83" t="s">
        <v>2843</v>
      </c>
      <c r="T507" s="83" t="s">
        <v>2843</v>
      </c>
      <c r="U507" s="83" t="s">
        <v>401</v>
      </c>
      <c r="V507" s="97"/>
      <c r="W507" s="97"/>
      <c r="X507" s="97"/>
      <c r="Y507" s="97"/>
      <c r="Z507" s="97"/>
      <c r="AA507" s="97"/>
      <c r="AB507" s="97"/>
      <c r="AC507" s="83" t="s">
        <v>401</v>
      </c>
      <c r="AD507" s="83">
        <v>7216000</v>
      </c>
      <c r="AE507" s="83"/>
      <c r="AF507" s="83">
        <v>4281000</v>
      </c>
      <c r="AG507" s="83"/>
      <c r="AH507" s="83"/>
      <c r="AI507" s="83"/>
      <c r="AJ507" s="83">
        <v>1</v>
      </c>
      <c r="AK507" s="83">
        <v>1</v>
      </c>
      <c r="AL507" s="83">
        <v>50498</v>
      </c>
      <c r="AM507" s="83" t="s">
        <v>2693</v>
      </c>
      <c r="AN507" s="83"/>
      <c r="AO507" s="83"/>
      <c r="AP507" s="83"/>
      <c r="AQ507" s="83"/>
      <c r="AR507" s="83"/>
      <c r="AS507" s="83"/>
      <c r="AT507" s="83"/>
      <c r="AU507" s="83"/>
      <c r="AV507" s="83"/>
      <c r="AW507" s="83"/>
      <c r="AX507" s="83"/>
      <c r="AY507" s="83"/>
      <c r="AZ507" s="83"/>
      <c r="BA507" s="83"/>
      <c r="BB507" s="83"/>
      <c r="BC507" s="83"/>
      <c r="BD507" s="83"/>
      <c r="BE507" s="83"/>
      <c r="BF507" s="83"/>
      <c r="BG507" s="83"/>
      <c r="BH507" s="83"/>
      <c r="BI507" s="83"/>
      <c r="BJ507" s="83"/>
      <c r="BK507" s="83" t="s">
        <v>2694</v>
      </c>
      <c r="BL507" s="83" t="s">
        <v>2695</v>
      </c>
      <c r="BM507" s="83" t="s">
        <v>2698</v>
      </c>
      <c r="BN507" s="83" t="s">
        <v>2698</v>
      </c>
      <c r="BO507" s="83" t="s">
        <v>2697</v>
      </c>
      <c r="BP507" s="83" t="s">
        <v>2697</v>
      </c>
      <c r="BQ507" s="83" t="s">
        <v>2699</v>
      </c>
      <c r="BR507" s="83" t="s">
        <v>2693</v>
      </c>
      <c r="BS507" s="83" t="s">
        <v>2699</v>
      </c>
      <c r="BT507" s="83" t="s">
        <v>2696</v>
      </c>
      <c r="BU507" s="83" t="s">
        <v>2699</v>
      </c>
      <c r="BV507" s="83" t="s">
        <v>2696</v>
      </c>
      <c r="BW507" s="83" t="s">
        <v>2698</v>
      </c>
      <c r="BX507" s="83" t="s">
        <v>2696</v>
      </c>
      <c r="BY507" s="83" t="s">
        <v>2699</v>
      </c>
      <c r="BZ507" s="83" t="s">
        <v>2693</v>
      </c>
      <c r="CA507" s="83" t="s">
        <v>2693</v>
      </c>
      <c r="CB507" s="83" t="s">
        <v>2693</v>
      </c>
      <c r="CC507" s="83" t="s">
        <v>2699</v>
      </c>
      <c r="CD507" s="83" t="s">
        <v>2699</v>
      </c>
      <c r="CE507" s="83"/>
      <c r="CF507" s="83" t="s">
        <v>3358</v>
      </c>
      <c r="CG507" s="83" t="s">
        <v>3359</v>
      </c>
      <c r="CH507" s="83" t="s">
        <v>2695</v>
      </c>
      <c r="CI507" s="83" t="s">
        <v>648</v>
      </c>
      <c r="CJ507" s="83" t="s">
        <v>2726</v>
      </c>
      <c r="CK507" s="144">
        <v>0</v>
      </c>
      <c r="CL507" s="99">
        <v>92000</v>
      </c>
    </row>
    <row r="508" spans="1:90" s="79" customFormat="1">
      <c r="A508" s="79" t="s">
        <v>3148</v>
      </c>
      <c r="B508" s="79" t="s">
        <v>2607</v>
      </c>
      <c r="D508" s="79" t="s">
        <v>673</v>
      </c>
      <c r="E508" s="79" t="s">
        <v>2423</v>
      </c>
      <c r="F508" s="79" t="s">
        <v>3145</v>
      </c>
      <c r="G508" s="79" t="s">
        <v>2300</v>
      </c>
      <c r="H508" s="79" t="s">
        <v>1201</v>
      </c>
      <c r="I508" s="79" t="s">
        <v>1202</v>
      </c>
      <c r="J508" s="79" t="s">
        <v>1203</v>
      </c>
      <c r="K508" s="79" t="s">
        <v>565</v>
      </c>
      <c r="L508" s="79" t="s">
        <v>398</v>
      </c>
      <c r="M508" s="79" t="s">
        <v>399</v>
      </c>
      <c r="N508" s="79" t="s">
        <v>1909</v>
      </c>
      <c r="O508" s="79" t="s">
        <v>106</v>
      </c>
      <c r="P508" s="79">
        <v>9</v>
      </c>
      <c r="Q508" s="79" t="s">
        <v>106</v>
      </c>
      <c r="R508" s="79" t="s">
        <v>2727</v>
      </c>
      <c r="S508" s="79" t="s">
        <v>1454</v>
      </c>
      <c r="T508" s="79" t="s">
        <v>2843</v>
      </c>
      <c r="U508" s="79" t="s">
        <v>401</v>
      </c>
      <c r="V508" s="97"/>
      <c r="W508" s="97"/>
      <c r="X508" s="97"/>
      <c r="Y508" s="97"/>
      <c r="Z508" s="97"/>
      <c r="AA508" s="97"/>
      <c r="AB508" s="97"/>
      <c r="AC508" s="79" t="s">
        <v>401</v>
      </c>
      <c r="AD508" s="79">
        <v>41000</v>
      </c>
      <c r="AF508" s="79">
        <v>21000</v>
      </c>
      <c r="AJ508" s="79">
        <v>1</v>
      </c>
      <c r="AK508" s="79">
        <v>1</v>
      </c>
      <c r="AL508" s="79">
        <v>800</v>
      </c>
      <c r="AM508" s="79" t="s">
        <v>2693</v>
      </c>
      <c r="BK508" s="79" t="s">
        <v>2694</v>
      </c>
      <c r="BL508" s="79" t="s">
        <v>2693</v>
      </c>
      <c r="BM508" s="79" t="s">
        <v>2697</v>
      </c>
      <c r="BN508" s="79" t="s">
        <v>2696</v>
      </c>
      <c r="BO508" s="79" t="s">
        <v>2697</v>
      </c>
      <c r="BP508" s="79" t="s">
        <v>2697</v>
      </c>
      <c r="BQ508" s="79" t="s">
        <v>2699</v>
      </c>
      <c r="BR508" s="79" t="s">
        <v>2693</v>
      </c>
      <c r="BS508" s="79" t="s">
        <v>2699</v>
      </c>
      <c r="BT508" s="79" t="s">
        <v>2696</v>
      </c>
      <c r="BU508" s="79" t="s">
        <v>2699</v>
      </c>
      <c r="BV508" s="79" t="s">
        <v>2696</v>
      </c>
      <c r="BW508" s="79" t="s">
        <v>2693</v>
      </c>
      <c r="BX508" s="79" t="s">
        <v>2696</v>
      </c>
      <c r="BY508" s="79" t="s">
        <v>2699</v>
      </c>
      <c r="BZ508" s="79" t="s">
        <v>2693</v>
      </c>
      <c r="CA508" s="79" t="s">
        <v>2693</v>
      </c>
      <c r="CB508" s="79" t="s">
        <v>2694</v>
      </c>
      <c r="CC508" s="79" t="s">
        <v>2699</v>
      </c>
      <c r="CD508" s="79" t="s">
        <v>2696</v>
      </c>
      <c r="CF508" s="79" t="s">
        <v>2159</v>
      </c>
      <c r="CG508" s="79" t="s">
        <v>3150</v>
      </c>
      <c r="CH508" s="79" t="s">
        <v>2697</v>
      </c>
      <c r="CI508" s="79" t="s">
        <v>2695</v>
      </c>
      <c r="CJ508" s="79" t="s">
        <v>2757</v>
      </c>
      <c r="CK508" s="145">
        <v>0</v>
      </c>
      <c r="CL508">
        <v>315000</v>
      </c>
    </row>
    <row r="509" spans="1:90" s="79" customFormat="1">
      <c r="A509" s="83" t="s">
        <v>3780</v>
      </c>
      <c r="B509" s="83" t="s">
        <v>3810</v>
      </c>
      <c r="C509" s="83"/>
      <c r="D509" s="83" t="s">
        <v>688</v>
      </c>
      <c r="E509" s="83" t="s">
        <v>3839</v>
      </c>
      <c r="F509" s="83">
        <v>1093</v>
      </c>
      <c r="G509" s="83" t="s">
        <v>1306</v>
      </c>
      <c r="H509" s="83" t="s">
        <v>1201</v>
      </c>
      <c r="I509" s="83" t="s">
        <v>1202</v>
      </c>
      <c r="J509" s="83" t="s">
        <v>1203</v>
      </c>
      <c r="K509" s="83" t="s">
        <v>565</v>
      </c>
      <c r="L509" s="83" t="s">
        <v>398</v>
      </c>
      <c r="M509" s="83" t="s">
        <v>399</v>
      </c>
      <c r="N509" s="83" t="s">
        <v>2709</v>
      </c>
      <c r="O509" s="83" t="s">
        <v>106</v>
      </c>
      <c r="P509" s="83">
        <v>0</v>
      </c>
      <c r="Q509" s="83" t="s">
        <v>106</v>
      </c>
      <c r="R509" s="83">
        <v>8</v>
      </c>
      <c r="S509" s="87">
        <v>29220</v>
      </c>
      <c r="T509" s="83" t="s">
        <v>2703</v>
      </c>
      <c r="U509" s="83" t="s">
        <v>401</v>
      </c>
      <c r="V509" s="97"/>
      <c r="W509" s="97"/>
      <c r="X509" s="97"/>
      <c r="Y509" s="97"/>
      <c r="Z509" s="97"/>
      <c r="AA509" s="97"/>
      <c r="AB509" s="97"/>
      <c r="AC509" s="83" t="s">
        <v>401</v>
      </c>
      <c r="AD509" s="83">
        <v>0</v>
      </c>
      <c r="AE509" s="83"/>
      <c r="AF509" s="83">
        <v>25000</v>
      </c>
      <c r="AG509" s="83"/>
      <c r="AH509" s="83"/>
      <c r="AI509" s="83"/>
      <c r="AJ509" s="83">
        <v>1</v>
      </c>
      <c r="AK509" s="82">
        <v>0</v>
      </c>
      <c r="AL509" s="83">
        <v>0</v>
      </c>
      <c r="AM509" s="83" t="s">
        <v>2693</v>
      </c>
      <c r="AN509" s="83"/>
      <c r="AO509" s="83"/>
      <c r="AP509" s="83"/>
      <c r="AQ509" s="83"/>
      <c r="AR509" s="83"/>
      <c r="AS509" s="83"/>
      <c r="AT509" s="83"/>
      <c r="AU509" s="83"/>
      <c r="AV509" s="83"/>
      <c r="AW509" s="83"/>
      <c r="AX509" s="83"/>
      <c r="AY509" s="83"/>
      <c r="AZ509" s="83"/>
      <c r="BA509" s="83"/>
      <c r="BB509" s="83"/>
      <c r="BC509" s="83"/>
      <c r="BD509" s="83"/>
      <c r="BE509" s="83"/>
      <c r="BF509" s="83"/>
      <c r="BG509" s="83"/>
      <c r="BH509" s="83"/>
      <c r="BI509" s="83"/>
      <c r="BJ509" s="83"/>
      <c r="BK509" s="83">
        <v>0</v>
      </c>
      <c r="BL509" s="83">
        <v>0</v>
      </c>
      <c r="BM509" s="83">
        <v>0</v>
      </c>
      <c r="BN509" s="83">
        <v>0</v>
      </c>
      <c r="BO509" s="83">
        <v>0</v>
      </c>
      <c r="BP509" s="83">
        <v>0</v>
      </c>
      <c r="BQ509" s="83">
        <v>0</v>
      </c>
      <c r="BR509" s="83">
        <v>0</v>
      </c>
      <c r="BS509" s="83">
        <v>0</v>
      </c>
      <c r="BT509" s="83">
        <v>0</v>
      </c>
      <c r="BU509" s="83">
        <v>1</v>
      </c>
      <c r="BV509" s="83">
        <v>0</v>
      </c>
      <c r="BW509" s="83">
        <v>0</v>
      </c>
      <c r="BX509" s="83">
        <v>0</v>
      </c>
      <c r="BY509" s="83">
        <v>0</v>
      </c>
      <c r="BZ509" s="83">
        <v>0</v>
      </c>
      <c r="CA509" s="83">
        <v>0</v>
      </c>
      <c r="CB509" s="83">
        <v>0</v>
      </c>
      <c r="CC509" s="83">
        <v>0</v>
      </c>
      <c r="CD509" s="83">
        <v>0</v>
      </c>
      <c r="CE509" s="83"/>
      <c r="CF509" s="83" t="s">
        <v>3960</v>
      </c>
      <c r="CG509" s="83" t="s">
        <v>3961</v>
      </c>
      <c r="CH509" s="83"/>
      <c r="CI509" s="83"/>
      <c r="CJ509" s="83"/>
      <c r="CK509" s="144">
        <v>0</v>
      </c>
      <c r="CL509"/>
    </row>
    <row r="510" spans="1:90" s="79" customFormat="1">
      <c r="A510" s="83" t="s">
        <v>3050</v>
      </c>
      <c r="B510" s="83" t="s">
        <v>2572</v>
      </c>
      <c r="C510" s="83"/>
      <c r="D510" s="83" t="s">
        <v>688</v>
      </c>
      <c r="E510" s="83" t="s">
        <v>2570</v>
      </c>
      <c r="F510" s="83" t="s">
        <v>3051</v>
      </c>
      <c r="G510" s="83" t="s">
        <v>1200</v>
      </c>
      <c r="H510" s="83" t="s">
        <v>1201</v>
      </c>
      <c r="I510" s="83" t="s">
        <v>1202</v>
      </c>
      <c r="J510" s="83" t="s">
        <v>1203</v>
      </c>
      <c r="K510" s="83" t="s">
        <v>565</v>
      </c>
      <c r="L510" s="83" t="s">
        <v>398</v>
      </c>
      <c r="M510" s="83" t="s">
        <v>399</v>
      </c>
      <c r="N510" s="83" t="s">
        <v>2743</v>
      </c>
      <c r="O510" s="83" t="s">
        <v>106</v>
      </c>
      <c r="P510" s="83">
        <v>5</v>
      </c>
      <c r="Q510" s="83" t="s">
        <v>106</v>
      </c>
      <c r="R510" s="83" t="s">
        <v>2727</v>
      </c>
      <c r="S510" s="83" t="s">
        <v>2803</v>
      </c>
      <c r="T510" s="83" t="s">
        <v>2843</v>
      </c>
      <c r="U510" s="83" t="s">
        <v>401</v>
      </c>
      <c r="V510" s="97"/>
      <c r="W510" s="97"/>
      <c r="X510" s="97"/>
      <c r="Y510" s="97"/>
      <c r="Z510" s="97"/>
      <c r="AA510" s="97"/>
      <c r="AB510" s="97"/>
      <c r="AC510" s="83" t="s">
        <v>401</v>
      </c>
      <c r="AD510" s="83">
        <v>630000</v>
      </c>
      <c r="AE510" s="83"/>
      <c r="AF510" s="83">
        <v>44000</v>
      </c>
      <c r="AG510" s="83"/>
      <c r="AH510" s="83"/>
      <c r="AI510" s="83"/>
      <c r="AJ510" s="83">
        <v>1</v>
      </c>
      <c r="AK510" s="83">
        <v>1</v>
      </c>
      <c r="AL510" s="83">
        <v>4439</v>
      </c>
      <c r="AM510" s="83" t="s">
        <v>2693</v>
      </c>
      <c r="AN510" s="83"/>
      <c r="AO510" s="83"/>
      <c r="AP510" s="83"/>
      <c r="AQ510" s="83"/>
      <c r="AR510" s="83"/>
      <c r="AS510" s="83"/>
      <c r="AT510" s="83"/>
      <c r="AU510" s="83"/>
      <c r="AV510" s="83"/>
      <c r="AW510" s="83"/>
      <c r="AX510" s="83"/>
      <c r="AY510" s="83"/>
      <c r="AZ510" s="83"/>
      <c r="BA510" s="83"/>
      <c r="BB510" s="83"/>
      <c r="BC510" s="83"/>
      <c r="BD510" s="83"/>
      <c r="BE510" s="83"/>
      <c r="BF510" s="83"/>
      <c r="BG510" s="83"/>
      <c r="BH510" s="83"/>
      <c r="BI510" s="83"/>
      <c r="BJ510" s="83"/>
      <c r="BK510" s="83" t="s">
        <v>2694</v>
      </c>
      <c r="BL510" s="83" t="s">
        <v>2693</v>
      </c>
      <c r="BM510" s="83" t="s">
        <v>2699</v>
      </c>
      <c r="BN510" s="83" t="s">
        <v>2698</v>
      </c>
      <c r="BO510" s="83" t="s">
        <v>2697</v>
      </c>
      <c r="BP510" s="83" t="s">
        <v>2698</v>
      </c>
      <c r="BQ510" s="83" t="s">
        <v>2699</v>
      </c>
      <c r="BR510" s="83" t="s">
        <v>2699</v>
      </c>
      <c r="BS510" s="83" t="s">
        <v>2699</v>
      </c>
      <c r="BT510" s="83" t="s">
        <v>2696</v>
      </c>
      <c r="BU510" s="83" t="s">
        <v>2699</v>
      </c>
      <c r="BV510" s="83" t="s">
        <v>2696</v>
      </c>
      <c r="BW510" s="83" t="s">
        <v>2698</v>
      </c>
      <c r="BX510" s="83" t="s">
        <v>2696</v>
      </c>
      <c r="BY510" s="83" t="s">
        <v>2699</v>
      </c>
      <c r="BZ510" s="83" t="s">
        <v>2693</v>
      </c>
      <c r="CA510" s="83" t="s">
        <v>2693</v>
      </c>
      <c r="CB510" s="83" t="s">
        <v>2694</v>
      </c>
      <c r="CC510" s="83" t="s">
        <v>2699</v>
      </c>
      <c r="CD510" s="83" t="s">
        <v>2696</v>
      </c>
      <c r="CE510" s="83"/>
      <c r="CF510" s="83" t="s">
        <v>3052</v>
      </c>
      <c r="CG510" s="83" t="s">
        <v>3053</v>
      </c>
      <c r="CH510" s="83" t="s">
        <v>2725</v>
      </c>
      <c r="CI510" s="83" t="s">
        <v>1358</v>
      </c>
      <c r="CJ510" s="83" t="s">
        <v>2722</v>
      </c>
      <c r="CK510" s="144">
        <v>0</v>
      </c>
      <c r="CL510" s="99">
        <v>496000</v>
      </c>
    </row>
    <row r="511" spans="1:90" s="79" customFormat="1">
      <c r="A511" s="83" t="s">
        <v>3050</v>
      </c>
      <c r="B511" s="83" t="s">
        <v>2572</v>
      </c>
      <c r="C511" s="83"/>
      <c r="D511" s="83" t="s">
        <v>673</v>
      </c>
      <c r="E511" s="83" t="s">
        <v>2571</v>
      </c>
      <c r="F511" s="83" t="s">
        <v>3051</v>
      </c>
      <c r="G511" s="83" t="s">
        <v>1200</v>
      </c>
      <c r="H511" s="83" t="s">
        <v>1201</v>
      </c>
      <c r="I511" s="83" t="s">
        <v>1202</v>
      </c>
      <c r="J511" s="83" t="s">
        <v>1203</v>
      </c>
      <c r="K511" s="83" t="s">
        <v>565</v>
      </c>
      <c r="L511" s="83" t="s">
        <v>398</v>
      </c>
      <c r="M511" s="83" t="s">
        <v>399</v>
      </c>
      <c r="N511" s="83" t="s">
        <v>2743</v>
      </c>
      <c r="O511" s="83" t="s">
        <v>106</v>
      </c>
      <c r="P511" s="83">
        <v>5</v>
      </c>
      <c r="Q511" s="83" t="s">
        <v>106</v>
      </c>
      <c r="R511" s="83" t="s">
        <v>2727</v>
      </c>
      <c r="S511" s="83" t="s">
        <v>3054</v>
      </c>
      <c r="T511" s="83" t="s">
        <v>2843</v>
      </c>
      <c r="U511" s="83" t="s">
        <v>401</v>
      </c>
      <c r="V511" s="97"/>
      <c r="W511" s="97"/>
      <c r="X511" s="97"/>
      <c r="Y511" s="97"/>
      <c r="Z511" s="97"/>
      <c r="AA511" s="97"/>
      <c r="AB511" s="97"/>
      <c r="AC511" s="83" t="s">
        <v>401</v>
      </c>
      <c r="AD511" s="83">
        <v>691000</v>
      </c>
      <c r="AE511" s="83"/>
      <c r="AF511" s="83">
        <v>27000</v>
      </c>
      <c r="AG511" s="83"/>
      <c r="AH511" s="83"/>
      <c r="AI511" s="83"/>
      <c r="AJ511" s="83">
        <v>1</v>
      </c>
      <c r="AK511" s="83">
        <v>1</v>
      </c>
      <c r="AL511" s="83">
        <v>5387</v>
      </c>
      <c r="AM511" s="83" t="s">
        <v>2693</v>
      </c>
      <c r="AN511" s="83"/>
      <c r="AO511" s="83"/>
      <c r="AP511" s="83"/>
      <c r="AQ511" s="83"/>
      <c r="AR511" s="83"/>
      <c r="AS511" s="83"/>
      <c r="AT511" s="83"/>
      <c r="AU511" s="83"/>
      <c r="AV511" s="83"/>
      <c r="AW511" s="83"/>
      <c r="AX511" s="83"/>
      <c r="AY511" s="83"/>
      <c r="AZ511" s="83"/>
      <c r="BA511" s="83"/>
      <c r="BB511" s="83"/>
      <c r="BC511" s="83"/>
      <c r="BD511" s="83"/>
      <c r="BE511" s="83"/>
      <c r="BF511" s="83"/>
      <c r="BG511" s="83"/>
      <c r="BH511" s="83"/>
      <c r="BI511" s="83"/>
      <c r="BJ511" s="83"/>
      <c r="BK511" s="83" t="s">
        <v>2694</v>
      </c>
      <c r="BL511" s="83" t="s">
        <v>2693</v>
      </c>
      <c r="BM511" s="83" t="s">
        <v>2697</v>
      </c>
      <c r="BN511" s="83" t="s">
        <v>2698</v>
      </c>
      <c r="BO511" s="83" t="s">
        <v>2697</v>
      </c>
      <c r="BP511" s="83" t="s">
        <v>2698</v>
      </c>
      <c r="BQ511" s="83" t="s">
        <v>2699</v>
      </c>
      <c r="BR511" s="83" t="s">
        <v>2693</v>
      </c>
      <c r="BS511" s="83" t="s">
        <v>2699</v>
      </c>
      <c r="BT511" s="83" t="s">
        <v>2696</v>
      </c>
      <c r="BU511" s="83" t="s">
        <v>2699</v>
      </c>
      <c r="BV511" s="83" t="s">
        <v>2696</v>
      </c>
      <c r="BW511" s="83" t="s">
        <v>2698</v>
      </c>
      <c r="BX511" s="83" t="s">
        <v>2696</v>
      </c>
      <c r="BY511" s="83" t="s">
        <v>2699</v>
      </c>
      <c r="BZ511" s="83" t="s">
        <v>2693</v>
      </c>
      <c r="CA511" s="83" t="s">
        <v>2693</v>
      </c>
      <c r="CB511" s="83" t="s">
        <v>2694</v>
      </c>
      <c r="CC511" s="83" t="s">
        <v>2699</v>
      </c>
      <c r="CD511" s="83" t="s">
        <v>2696</v>
      </c>
      <c r="CE511" s="83"/>
      <c r="CF511" s="83" t="s">
        <v>3055</v>
      </c>
      <c r="CG511" s="83" t="s">
        <v>3056</v>
      </c>
      <c r="CH511" s="83" t="s">
        <v>2725</v>
      </c>
      <c r="CI511" s="83" t="s">
        <v>1358</v>
      </c>
      <c r="CJ511" s="83" t="s">
        <v>2722</v>
      </c>
      <c r="CK511" s="144">
        <v>0</v>
      </c>
      <c r="CL511"/>
    </row>
    <row r="512" spans="1:90" s="79" customFormat="1">
      <c r="A512" s="83" t="s">
        <v>3050</v>
      </c>
      <c r="B512" s="83" t="s">
        <v>2572</v>
      </c>
      <c r="C512" s="83"/>
      <c r="D512" s="83" t="s">
        <v>714</v>
      </c>
      <c r="E512" s="83" t="s">
        <v>894</v>
      </c>
      <c r="F512" s="83" t="s">
        <v>3051</v>
      </c>
      <c r="G512" s="83" t="s">
        <v>1199</v>
      </c>
      <c r="H512" s="83" t="s">
        <v>1201</v>
      </c>
      <c r="I512" s="83" t="s">
        <v>1202</v>
      </c>
      <c r="J512" s="83" t="s">
        <v>1203</v>
      </c>
      <c r="K512" s="83" t="s">
        <v>565</v>
      </c>
      <c r="L512" s="83" t="s">
        <v>398</v>
      </c>
      <c r="M512" s="83" t="s">
        <v>399</v>
      </c>
      <c r="N512" s="83" t="s">
        <v>3057</v>
      </c>
      <c r="O512" s="83" t="s">
        <v>106</v>
      </c>
      <c r="P512" s="83">
        <v>4</v>
      </c>
      <c r="Q512" s="83" t="s">
        <v>106</v>
      </c>
      <c r="R512" s="83" t="s">
        <v>2727</v>
      </c>
      <c r="S512" s="83" t="s">
        <v>3054</v>
      </c>
      <c r="T512" s="83" t="s">
        <v>2843</v>
      </c>
      <c r="U512" s="83" t="s">
        <v>401</v>
      </c>
      <c r="V512" s="97"/>
      <c r="W512" s="97"/>
      <c r="X512" s="97"/>
      <c r="Y512" s="97"/>
      <c r="Z512" s="97"/>
      <c r="AA512" s="97"/>
      <c r="AB512" s="97"/>
      <c r="AC512" s="83" t="s">
        <v>401</v>
      </c>
      <c r="AD512" s="83">
        <v>55000</v>
      </c>
      <c r="AE512" s="83"/>
      <c r="AF512" s="83">
        <v>1000</v>
      </c>
      <c r="AG512" s="83"/>
      <c r="AH512" s="83"/>
      <c r="AI512" s="83"/>
      <c r="AJ512" s="83">
        <v>1</v>
      </c>
      <c r="AK512" s="83">
        <v>1</v>
      </c>
      <c r="AL512" s="83">
        <v>440</v>
      </c>
      <c r="AM512" s="83" t="s">
        <v>2693</v>
      </c>
      <c r="AN512" s="83"/>
      <c r="AO512" s="83"/>
      <c r="AP512" s="83"/>
      <c r="AQ512" s="83"/>
      <c r="AR512" s="83"/>
      <c r="AS512" s="83"/>
      <c r="AT512" s="83"/>
      <c r="AU512" s="83"/>
      <c r="AV512" s="83"/>
      <c r="AW512" s="83"/>
      <c r="AX512" s="83"/>
      <c r="AY512" s="83"/>
      <c r="AZ512" s="83"/>
      <c r="BA512" s="83"/>
      <c r="BB512" s="83"/>
      <c r="BC512" s="83"/>
      <c r="BD512" s="83"/>
      <c r="BE512" s="83"/>
      <c r="BF512" s="83"/>
      <c r="BG512" s="83"/>
      <c r="BH512" s="83"/>
      <c r="BI512" s="83"/>
      <c r="BJ512" s="83"/>
      <c r="BK512" s="83" t="s">
        <v>2694</v>
      </c>
      <c r="BL512" s="83" t="s">
        <v>2698</v>
      </c>
      <c r="BM512" s="83" t="s">
        <v>2693</v>
      </c>
      <c r="BN512" s="83" t="s">
        <v>2696</v>
      </c>
      <c r="BO512" s="83" t="s">
        <v>2697</v>
      </c>
      <c r="BP512" s="83" t="s">
        <v>2698</v>
      </c>
      <c r="BQ512" s="83" t="s">
        <v>2699</v>
      </c>
      <c r="BR512" s="83" t="s">
        <v>2693</v>
      </c>
      <c r="BS512" s="83" t="s">
        <v>2699</v>
      </c>
      <c r="BT512" s="83" t="s">
        <v>2696</v>
      </c>
      <c r="BU512" s="83" t="s">
        <v>2699</v>
      </c>
      <c r="BV512" s="83" t="s">
        <v>2696</v>
      </c>
      <c r="BW512" s="83" t="s">
        <v>2698</v>
      </c>
      <c r="BX512" s="83" t="s">
        <v>2696</v>
      </c>
      <c r="BY512" s="83" t="s">
        <v>2699</v>
      </c>
      <c r="BZ512" s="83" t="s">
        <v>2693</v>
      </c>
      <c r="CA512" s="83" t="s">
        <v>2693</v>
      </c>
      <c r="CB512" s="83" t="s">
        <v>2694</v>
      </c>
      <c r="CC512" s="83" t="s">
        <v>2699</v>
      </c>
      <c r="CD512" s="83" t="s">
        <v>2696</v>
      </c>
      <c r="CE512" s="83"/>
      <c r="CF512" s="83" t="s">
        <v>3058</v>
      </c>
      <c r="CG512" s="83" t="s">
        <v>3059</v>
      </c>
      <c r="CH512" s="83" t="s">
        <v>2693</v>
      </c>
      <c r="CI512" s="83" t="s">
        <v>3992</v>
      </c>
      <c r="CJ512" s="83" t="s">
        <v>2701</v>
      </c>
      <c r="CK512" s="144">
        <v>3</v>
      </c>
      <c r="CL512"/>
    </row>
    <row r="513" spans="1:90" s="79" customFormat="1">
      <c r="A513" s="83" t="s">
        <v>3050</v>
      </c>
      <c r="B513" s="83" t="s">
        <v>2572</v>
      </c>
      <c r="C513" s="83"/>
      <c r="D513" s="83" t="s">
        <v>716</v>
      </c>
      <c r="E513" s="83" t="s">
        <v>1676</v>
      </c>
      <c r="F513" s="83" t="s">
        <v>3051</v>
      </c>
      <c r="G513" s="83" t="s">
        <v>1199</v>
      </c>
      <c r="H513" s="83" t="s">
        <v>1201</v>
      </c>
      <c r="I513" s="83" t="s">
        <v>1202</v>
      </c>
      <c r="J513" s="83" t="s">
        <v>1203</v>
      </c>
      <c r="K513" s="83" t="s">
        <v>565</v>
      </c>
      <c r="L513" s="83" t="s">
        <v>398</v>
      </c>
      <c r="M513" s="83" t="s">
        <v>399</v>
      </c>
      <c r="N513" s="83" t="s">
        <v>3057</v>
      </c>
      <c r="O513" s="83" t="s">
        <v>106</v>
      </c>
      <c r="P513" s="83">
        <v>4</v>
      </c>
      <c r="Q513" s="83" t="s">
        <v>106</v>
      </c>
      <c r="R513" s="83" t="s">
        <v>2727</v>
      </c>
      <c r="S513" s="83" t="s">
        <v>1466</v>
      </c>
      <c r="T513" s="83" t="s">
        <v>2843</v>
      </c>
      <c r="U513" s="83" t="s">
        <v>401</v>
      </c>
      <c r="V513" s="97"/>
      <c r="W513" s="97"/>
      <c r="X513" s="97"/>
      <c r="Y513" s="97"/>
      <c r="Z513" s="97"/>
      <c r="AA513" s="97"/>
      <c r="AB513" s="97"/>
      <c r="AC513" s="83" t="s">
        <v>401</v>
      </c>
      <c r="AD513" s="83">
        <v>49000</v>
      </c>
      <c r="AE513" s="83"/>
      <c r="AF513" s="83">
        <v>40000</v>
      </c>
      <c r="AG513" s="83"/>
      <c r="AH513" s="83"/>
      <c r="AI513" s="83"/>
      <c r="AJ513" s="83">
        <v>1</v>
      </c>
      <c r="AK513" s="83">
        <v>1</v>
      </c>
      <c r="AL513" s="83">
        <v>792</v>
      </c>
      <c r="AM513" s="83" t="s">
        <v>2693</v>
      </c>
      <c r="AN513" s="83"/>
      <c r="AO513" s="83"/>
      <c r="AP513" s="83"/>
      <c r="AQ513" s="83"/>
      <c r="AR513" s="83"/>
      <c r="AS513" s="83"/>
      <c r="AT513" s="83"/>
      <c r="AU513" s="83"/>
      <c r="AV513" s="83"/>
      <c r="AW513" s="83"/>
      <c r="AX513" s="83"/>
      <c r="AY513" s="83"/>
      <c r="AZ513" s="83"/>
      <c r="BA513" s="83"/>
      <c r="BB513" s="83"/>
      <c r="BC513" s="83"/>
      <c r="BD513" s="83"/>
      <c r="BE513" s="83"/>
      <c r="BF513" s="83"/>
      <c r="BG513" s="83"/>
      <c r="BH513" s="83"/>
      <c r="BI513" s="83"/>
      <c r="BJ513" s="83"/>
      <c r="BK513" s="83" t="s">
        <v>2694</v>
      </c>
      <c r="BL513" s="83" t="s">
        <v>2696</v>
      </c>
      <c r="BM513" s="83" t="s">
        <v>2696</v>
      </c>
      <c r="BN513" s="83" t="s">
        <v>2698</v>
      </c>
      <c r="BO513" s="83" t="s">
        <v>2696</v>
      </c>
      <c r="BP513" s="83" t="s">
        <v>2699</v>
      </c>
      <c r="BQ513" s="83" t="s">
        <v>2699</v>
      </c>
      <c r="BR513" s="83" t="s">
        <v>2693</v>
      </c>
      <c r="BS513" s="83" t="s">
        <v>2699</v>
      </c>
      <c r="BT513" s="83" t="s">
        <v>2696</v>
      </c>
      <c r="BU513" s="83" t="s">
        <v>2699</v>
      </c>
      <c r="BV513" s="83" t="s">
        <v>2696</v>
      </c>
      <c r="BW513" s="83" t="s">
        <v>2698</v>
      </c>
      <c r="BX513" s="83" t="s">
        <v>2696</v>
      </c>
      <c r="BY513" s="83" t="s">
        <v>2699</v>
      </c>
      <c r="BZ513" s="83" t="s">
        <v>2693</v>
      </c>
      <c r="CA513" s="83" t="s">
        <v>2693</v>
      </c>
      <c r="CB513" s="83" t="s">
        <v>2694</v>
      </c>
      <c r="CC513" s="83" t="s">
        <v>2699</v>
      </c>
      <c r="CD513" s="83" t="s">
        <v>2696</v>
      </c>
      <c r="CE513" s="83"/>
      <c r="CF513" s="83" t="s">
        <v>3060</v>
      </c>
      <c r="CG513" s="83" t="s">
        <v>3061</v>
      </c>
      <c r="CH513" s="83" t="s">
        <v>2693</v>
      </c>
      <c r="CI513" s="83" t="s">
        <v>3992</v>
      </c>
      <c r="CJ513" s="83" t="s">
        <v>2701</v>
      </c>
      <c r="CK513" s="144">
        <v>0</v>
      </c>
      <c r="CL513"/>
    </row>
    <row r="514" spans="1:90" s="79" customFormat="1">
      <c r="A514" s="83" t="s">
        <v>3050</v>
      </c>
      <c r="B514" s="83" t="s">
        <v>2572</v>
      </c>
      <c r="C514" s="83"/>
      <c r="D514" s="83" t="s">
        <v>717</v>
      </c>
      <c r="E514" s="83" t="s">
        <v>2542</v>
      </c>
      <c r="F514" s="83" t="s">
        <v>3051</v>
      </c>
      <c r="G514" s="83" t="s">
        <v>1199</v>
      </c>
      <c r="H514" s="83" t="s">
        <v>1201</v>
      </c>
      <c r="I514" s="83" t="s">
        <v>1202</v>
      </c>
      <c r="J514" s="83" t="s">
        <v>1203</v>
      </c>
      <c r="K514" s="83" t="s">
        <v>565</v>
      </c>
      <c r="L514" s="83" t="s">
        <v>398</v>
      </c>
      <c r="M514" s="83" t="s">
        <v>399</v>
      </c>
      <c r="N514" s="83" t="s">
        <v>3057</v>
      </c>
      <c r="O514" s="83" t="s">
        <v>106</v>
      </c>
      <c r="P514" s="83">
        <v>4</v>
      </c>
      <c r="Q514" s="83" t="s">
        <v>106</v>
      </c>
      <c r="R514" s="83" t="s">
        <v>2727</v>
      </c>
      <c r="S514" s="83" t="s">
        <v>3054</v>
      </c>
      <c r="T514" s="83" t="s">
        <v>2843</v>
      </c>
      <c r="U514" s="83" t="s">
        <v>401</v>
      </c>
      <c r="V514" s="97"/>
      <c r="W514" s="97"/>
      <c r="X514" s="97"/>
      <c r="Y514" s="97"/>
      <c r="Z514" s="97"/>
      <c r="AA514" s="97"/>
      <c r="AB514" s="97"/>
      <c r="AC514" s="83" t="s">
        <v>401</v>
      </c>
      <c r="AD514" s="83">
        <v>128000</v>
      </c>
      <c r="AE514" s="83"/>
      <c r="AF514" s="83">
        <v>4000</v>
      </c>
      <c r="AG514" s="83"/>
      <c r="AH514" s="83"/>
      <c r="AI514" s="83"/>
      <c r="AJ514" s="83">
        <v>1</v>
      </c>
      <c r="AK514" s="83">
        <v>1</v>
      </c>
      <c r="AL514" s="83">
        <v>1131</v>
      </c>
      <c r="AM514" s="83" t="s">
        <v>2693</v>
      </c>
      <c r="AN514" s="83"/>
      <c r="AO514" s="83"/>
      <c r="AP514" s="83"/>
      <c r="AQ514" s="83"/>
      <c r="AR514" s="83"/>
      <c r="AS514" s="83"/>
      <c r="AT514" s="83"/>
      <c r="AU514" s="83"/>
      <c r="AV514" s="83"/>
      <c r="AW514" s="83"/>
      <c r="AX514" s="83"/>
      <c r="AY514" s="83"/>
      <c r="AZ514" s="83"/>
      <c r="BA514" s="83"/>
      <c r="BB514" s="83"/>
      <c r="BC514" s="83"/>
      <c r="BD514" s="83"/>
      <c r="BE514" s="83"/>
      <c r="BF514" s="83"/>
      <c r="BG514" s="83"/>
      <c r="BH514" s="83"/>
      <c r="BI514" s="83"/>
      <c r="BJ514" s="83"/>
      <c r="BK514" s="83" t="s">
        <v>2694</v>
      </c>
      <c r="BL514" s="83" t="s">
        <v>2698</v>
      </c>
      <c r="BM514" s="83" t="s">
        <v>2693</v>
      </c>
      <c r="BN514" s="83" t="s">
        <v>2698</v>
      </c>
      <c r="BO514" s="83" t="s">
        <v>2697</v>
      </c>
      <c r="BP514" s="83" t="s">
        <v>2698</v>
      </c>
      <c r="BQ514" s="83" t="s">
        <v>2699</v>
      </c>
      <c r="BR514" s="83" t="s">
        <v>2693</v>
      </c>
      <c r="BS514" s="83" t="s">
        <v>2699</v>
      </c>
      <c r="BT514" s="83" t="s">
        <v>2696</v>
      </c>
      <c r="BU514" s="83" t="s">
        <v>2699</v>
      </c>
      <c r="BV514" s="83" t="s">
        <v>2696</v>
      </c>
      <c r="BW514" s="83" t="s">
        <v>2698</v>
      </c>
      <c r="BX514" s="83" t="s">
        <v>2696</v>
      </c>
      <c r="BY514" s="83" t="s">
        <v>2699</v>
      </c>
      <c r="BZ514" s="83" t="s">
        <v>2693</v>
      </c>
      <c r="CA514" s="83" t="s">
        <v>2693</v>
      </c>
      <c r="CB514" s="83" t="s">
        <v>2694</v>
      </c>
      <c r="CC514" s="83" t="s">
        <v>2699</v>
      </c>
      <c r="CD514" s="83" t="s">
        <v>2696</v>
      </c>
      <c r="CE514" s="83"/>
      <c r="CF514" s="83" t="s">
        <v>3060</v>
      </c>
      <c r="CG514" s="83" t="s">
        <v>3062</v>
      </c>
      <c r="CH514" s="83" t="s">
        <v>2693</v>
      </c>
      <c r="CI514" s="83" t="s">
        <v>3992</v>
      </c>
      <c r="CJ514" s="83" t="s">
        <v>2701</v>
      </c>
      <c r="CK514" s="144">
        <v>0</v>
      </c>
      <c r="CL514"/>
    </row>
    <row r="515" spans="1:90" s="79" customFormat="1">
      <c r="A515" s="83" t="s">
        <v>3050</v>
      </c>
      <c r="B515" s="83" t="s">
        <v>2572</v>
      </c>
      <c r="C515" s="83"/>
      <c r="D515" s="83" t="s">
        <v>840</v>
      </c>
      <c r="E515" s="83" t="s">
        <v>2502</v>
      </c>
      <c r="F515" s="83" t="s">
        <v>3051</v>
      </c>
      <c r="G515" s="83" t="s">
        <v>2299</v>
      </c>
      <c r="H515" s="83" t="s">
        <v>1201</v>
      </c>
      <c r="I515" s="83" t="s">
        <v>1202</v>
      </c>
      <c r="J515" s="83" t="s">
        <v>1203</v>
      </c>
      <c r="K515" s="83" t="s">
        <v>565</v>
      </c>
      <c r="L515" s="83" t="s">
        <v>398</v>
      </c>
      <c r="M515" s="83" t="s">
        <v>399</v>
      </c>
      <c r="N515" s="83" t="s">
        <v>3057</v>
      </c>
      <c r="O515" s="83" t="s">
        <v>106</v>
      </c>
      <c r="P515" s="83">
        <v>5</v>
      </c>
      <c r="Q515" s="83" t="s">
        <v>106</v>
      </c>
      <c r="R515" s="83" t="s">
        <v>2727</v>
      </c>
      <c r="S515" s="83" t="s">
        <v>3054</v>
      </c>
      <c r="T515" s="83" t="s">
        <v>2843</v>
      </c>
      <c r="U515" s="83" t="s">
        <v>401</v>
      </c>
      <c r="V515" s="97"/>
      <c r="W515" s="97"/>
      <c r="X515" s="97"/>
      <c r="Y515" s="97"/>
      <c r="Z515" s="97"/>
      <c r="AA515" s="97"/>
      <c r="AB515" s="97"/>
      <c r="AC515" s="83" t="s">
        <v>401</v>
      </c>
      <c r="AD515" s="83">
        <v>408000</v>
      </c>
      <c r="AE515" s="83"/>
      <c r="AF515" s="83">
        <v>0</v>
      </c>
      <c r="AG515" s="83"/>
      <c r="AH515" s="83"/>
      <c r="AI515" s="83"/>
      <c r="AJ515" s="83">
        <v>1</v>
      </c>
      <c r="AK515" s="83">
        <v>1</v>
      </c>
      <c r="AL515" s="83">
        <v>5520</v>
      </c>
      <c r="AM515" s="83" t="s">
        <v>2693</v>
      </c>
      <c r="AN515" s="83"/>
      <c r="AO515" s="83"/>
      <c r="AP515" s="83"/>
      <c r="AQ515" s="83"/>
      <c r="AR515" s="83"/>
      <c r="AS515" s="83"/>
      <c r="AT515" s="83"/>
      <c r="AU515" s="83"/>
      <c r="AV515" s="83"/>
      <c r="AW515" s="83"/>
      <c r="AX515" s="83"/>
      <c r="AY515" s="83"/>
      <c r="AZ515" s="83"/>
      <c r="BA515" s="83"/>
      <c r="BB515" s="83"/>
      <c r="BC515" s="83"/>
      <c r="BD515" s="83"/>
      <c r="BE515" s="83"/>
      <c r="BF515" s="83"/>
      <c r="BG515" s="83"/>
      <c r="BH515" s="83"/>
      <c r="BI515" s="83"/>
      <c r="BJ515" s="83"/>
      <c r="BK515" s="83" t="s">
        <v>2694</v>
      </c>
      <c r="BL515" s="83" t="s">
        <v>2704</v>
      </c>
      <c r="BM515" s="83" t="s">
        <v>2697</v>
      </c>
      <c r="BN515" s="83" t="s">
        <v>2696</v>
      </c>
      <c r="BO515" s="83" t="s">
        <v>2697</v>
      </c>
      <c r="BP515" s="83" t="s">
        <v>2698</v>
      </c>
      <c r="BQ515" s="83" t="s">
        <v>2699</v>
      </c>
      <c r="BR515" s="83" t="s">
        <v>2693</v>
      </c>
      <c r="BS515" s="83" t="s">
        <v>2699</v>
      </c>
      <c r="BT515" s="83" t="s">
        <v>2696</v>
      </c>
      <c r="BU515" s="83" t="s">
        <v>2699</v>
      </c>
      <c r="BV515" s="83" t="s">
        <v>2696</v>
      </c>
      <c r="BW515" s="83" t="s">
        <v>2697</v>
      </c>
      <c r="BX515" s="83" t="s">
        <v>2696</v>
      </c>
      <c r="BY515" s="83" t="s">
        <v>2699</v>
      </c>
      <c r="BZ515" s="83" t="s">
        <v>2693</v>
      </c>
      <c r="CA515" s="83" t="s">
        <v>2693</v>
      </c>
      <c r="CB515" s="83" t="s">
        <v>2694</v>
      </c>
      <c r="CC515" s="83" t="s">
        <v>2699</v>
      </c>
      <c r="CD515" s="83" t="s">
        <v>2696</v>
      </c>
      <c r="CE515" s="83"/>
      <c r="CF515" s="83" t="s">
        <v>3060</v>
      </c>
      <c r="CG515" s="83" t="s">
        <v>3063</v>
      </c>
      <c r="CH515" s="83" t="s">
        <v>2725</v>
      </c>
      <c r="CI515" s="83" t="s">
        <v>1358</v>
      </c>
      <c r="CJ515" s="83" t="s">
        <v>2734</v>
      </c>
      <c r="CK515" s="144">
        <v>1</v>
      </c>
      <c r="CL515"/>
    </row>
    <row r="516" spans="1:90" s="79" customFormat="1">
      <c r="A516" s="83" t="s">
        <v>858</v>
      </c>
      <c r="B516" s="83" t="s">
        <v>3521</v>
      </c>
      <c r="C516" s="83"/>
      <c r="D516" s="83" t="s">
        <v>688</v>
      </c>
      <c r="E516" s="83" t="s">
        <v>3522</v>
      </c>
      <c r="F516" s="83" t="s">
        <v>3425</v>
      </c>
      <c r="G516" s="83" t="s">
        <v>1155</v>
      </c>
      <c r="H516" s="83" t="s">
        <v>1201</v>
      </c>
      <c r="I516" s="83" t="s">
        <v>1202</v>
      </c>
      <c r="J516" s="83" t="s">
        <v>1203</v>
      </c>
      <c r="K516" s="83" t="s">
        <v>565</v>
      </c>
      <c r="L516" s="83" t="s">
        <v>398</v>
      </c>
      <c r="M516" s="83" t="s">
        <v>399</v>
      </c>
      <c r="N516" s="83" t="s">
        <v>3057</v>
      </c>
      <c r="O516" s="83" t="s">
        <v>106</v>
      </c>
      <c r="P516" s="83">
        <v>5</v>
      </c>
      <c r="Q516" s="83" t="s">
        <v>106</v>
      </c>
      <c r="R516" s="83" t="s">
        <v>2799</v>
      </c>
      <c r="S516" s="83" t="s">
        <v>2843</v>
      </c>
      <c r="T516" s="83" t="s">
        <v>2703</v>
      </c>
      <c r="U516" s="83" t="s">
        <v>401</v>
      </c>
      <c r="V516" s="97"/>
      <c r="W516" s="97"/>
      <c r="X516" s="97"/>
      <c r="Y516" s="97"/>
      <c r="Z516" s="97"/>
      <c r="AA516" s="97"/>
      <c r="AB516" s="97"/>
      <c r="AC516" s="83" t="s">
        <v>401</v>
      </c>
      <c r="AD516" s="83">
        <v>18000</v>
      </c>
      <c r="AE516" s="83"/>
      <c r="AF516" s="83">
        <v>2000</v>
      </c>
      <c r="AG516" s="83"/>
      <c r="AH516" s="83"/>
      <c r="AI516" s="83"/>
      <c r="AJ516" s="83">
        <v>1</v>
      </c>
      <c r="AK516" s="83">
        <v>1</v>
      </c>
      <c r="AL516" s="83">
        <v>130</v>
      </c>
      <c r="AM516" s="83" t="s">
        <v>2693</v>
      </c>
      <c r="AN516" s="83"/>
      <c r="AO516" s="83"/>
      <c r="AP516" s="83"/>
      <c r="AQ516" s="83"/>
      <c r="AR516" s="83"/>
      <c r="AS516" s="83"/>
      <c r="AT516" s="83"/>
      <c r="AU516" s="83"/>
      <c r="AV516" s="83"/>
      <c r="AW516" s="83"/>
      <c r="AX516" s="83"/>
      <c r="AY516" s="83"/>
      <c r="AZ516" s="83"/>
      <c r="BA516" s="83"/>
      <c r="BB516" s="83"/>
      <c r="BC516" s="83"/>
      <c r="BD516" s="83"/>
      <c r="BE516" s="83"/>
      <c r="BF516" s="83"/>
      <c r="BG516" s="83"/>
      <c r="BH516" s="83"/>
      <c r="BI516" s="83"/>
      <c r="BJ516" s="83"/>
      <c r="BK516" s="83" t="s">
        <v>2694</v>
      </c>
      <c r="BL516" s="83" t="s">
        <v>2695</v>
      </c>
      <c r="BM516" s="83" t="s">
        <v>2693</v>
      </c>
      <c r="BN516" s="83" t="s">
        <v>2698</v>
      </c>
      <c r="BO516" s="83" t="s">
        <v>2697</v>
      </c>
      <c r="BP516" s="83" t="s">
        <v>2699</v>
      </c>
      <c r="BQ516" s="83" t="s">
        <v>2699</v>
      </c>
      <c r="BR516" s="83" t="s">
        <v>2693</v>
      </c>
      <c r="BS516" s="83" t="s">
        <v>2699</v>
      </c>
      <c r="BT516" s="83" t="s">
        <v>2696</v>
      </c>
      <c r="BU516" s="83" t="s">
        <v>2699</v>
      </c>
      <c r="BV516" s="83" t="s">
        <v>2697</v>
      </c>
      <c r="BW516" s="83" t="s">
        <v>2698</v>
      </c>
      <c r="BX516" s="83" t="s">
        <v>2696</v>
      </c>
      <c r="BY516" s="83" t="s">
        <v>2699</v>
      </c>
      <c r="BZ516" s="83" t="s">
        <v>2699</v>
      </c>
      <c r="CA516" s="83" t="s">
        <v>2693</v>
      </c>
      <c r="CB516" s="83" t="s">
        <v>2694</v>
      </c>
      <c r="CC516" s="83" t="s">
        <v>2696</v>
      </c>
      <c r="CD516" s="83" t="s">
        <v>2696</v>
      </c>
      <c r="CE516" s="83"/>
      <c r="CF516" s="83" t="s">
        <v>859</v>
      </c>
      <c r="CG516" s="83" t="s">
        <v>857</v>
      </c>
      <c r="CH516" s="83" t="s">
        <v>2725</v>
      </c>
      <c r="CI516" s="83" t="s">
        <v>1358</v>
      </c>
      <c r="CJ516" s="83" t="s">
        <v>2726</v>
      </c>
      <c r="CK516" s="144">
        <v>0</v>
      </c>
      <c r="CL516"/>
    </row>
    <row r="517" spans="1:90" s="79" customFormat="1">
      <c r="A517" s="83" t="s">
        <v>858</v>
      </c>
      <c r="B517" s="83" t="s">
        <v>3521</v>
      </c>
      <c r="C517" s="83"/>
      <c r="D517" s="83" t="s">
        <v>673</v>
      </c>
      <c r="E517" s="83" t="s">
        <v>3523</v>
      </c>
      <c r="F517" s="83" t="s">
        <v>3425</v>
      </c>
      <c r="G517" s="83" t="s">
        <v>1155</v>
      </c>
      <c r="H517" s="83" t="s">
        <v>1201</v>
      </c>
      <c r="I517" s="83" t="s">
        <v>1202</v>
      </c>
      <c r="J517" s="83" t="s">
        <v>1203</v>
      </c>
      <c r="K517" s="83" t="s">
        <v>565</v>
      </c>
      <c r="L517" s="83" t="s">
        <v>398</v>
      </c>
      <c r="M517" s="83" t="s">
        <v>399</v>
      </c>
      <c r="N517" s="83" t="s">
        <v>3057</v>
      </c>
      <c r="O517" s="83" t="s">
        <v>106</v>
      </c>
      <c r="P517" s="83">
        <v>5</v>
      </c>
      <c r="Q517" s="83" t="s">
        <v>106</v>
      </c>
      <c r="R517" s="83" t="s">
        <v>2799</v>
      </c>
      <c r="S517" s="83" t="s">
        <v>2843</v>
      </c>
      <c r="T517" s="83" t="s">
        <v>2703</v>
      </c>
      <c r="U517" s="83" t="s">
        <v>401</v>
      </c>
      <c r="V517" s="97"/>
      <c r="W517" s="97"/>
      <c r="X517" s="97"/>
      <c r="Y517" s="97"/>
      <c r="Z517" s="97"/>
      <c r="AA517" s="97"/>
      <c r="AB517" s="97"/>
      <c r="AC517" s="83" t="s">
        <v>401</v>
      </c>
      <c r="AD517" s="83">
        <v>18000</v>
      </c>
      <c r="AE517" s="83"/>
      <c r="AF517" s="83">
        <v>2000</v>
      </c>
      <c r="AG517" s="83"/>
      <c r="AH517" s="83"/>
      <c r="AI517" s="83"/>
      <c r="AJ517" s="83">
        <v>1</v>
      </c>
      <c r="AK517" s="83">
        <v>1</v>
      </c>
      <c r="AL517" s="83">
        <v>130</v>
      </c>
      <c r="AM517" s="83" t="s">
        <v>2693</v>
      </c>
      <c r="AN517" s="83"/>
      <c r="AO517" s="83"/>
      <c r="AP517" s="83"/>
      <c r="AQ517" s="83"/>
      <c r="AR517" s="83"/>
      <c r="AS517" s="83"/>
      <c r="AT517" s="83"/>
      <c r="AU517" s="83"/>
      <c r="AV517" s="83"/>
      <c r="AW517" s="83"/>
      <c r="AX517" s="83"/>
      <c r="AY517" s="83"/>
      <c r="AZ517" s="83"/>
      <c r="BA517" s="83"/>
      <c r="BB517" s="83"/>
      <c r="BC517" s="83"/>
      <c r="BD517" s="83"/>
      <c r="BE517" s="83"/>
      <c r="BF517" s="83"/>
      <c r="BG517" s="83"/>
      <c r="BH517" s="83"/>
      <c r="BI517" s="83"/>
      <c r="BJ517" s="83"/>
      <c r="BK517" s="83" t="s">
        <v>2694</v>
      </c>
      <c r="BL517" s="83" t="s">
        <v>2695</v>
      </c>
      <c r="BM517" s="83" t="s">
        <v>2693</v>
      </c>
      <c r="BN517" s="83" t="s">
        <v>2698</v>
      </c>
      <c r="BO517" s="83" t="s">
        <v>2697</v>
      </c>
      <c r="BP517" s="83" t="s">
        <v>2699</v>
      </c>
      <c r="BQ517" s="83" t="s">
        <v>2699</v>
      </c>
      <c r="BR517" s="83" t="s">
        <v>2693</v>
      </c>
      <c r="BS517" s="83" t="s">
        <v>2699</v>
      </c>
      <c r="BT517" s="83" t="s">
        <v>2696</v>
      </c>
      <c r="BU517" s="83" t="s">
        <v>2699</v>
      </c>
      <c r="BV517" s="83" t="s">
        <v>2697</v>
      </c>
      <c r="BW517" s="83" t="s">
        <v>2698</v>
      </c>
      <c r="BX517" s="83" t="s">
        <v>2696</v>
      </c>
      <c r="BY517" s="83" t="s">
        <v>2699</v>
      </c>
      <c r="BZ517" s="83" t="s">
        <v>2699</v>
      </c>
      <c r="CA517" s="83" t="s">
        <v>2693</v>
      </c>
      <c r="CB517" s="83" t="s">
        <v>2694</v>
      </c>
      <c r="CC517" s="83" t="s">
        <v>2696</v>
      </c>
      <c r="CD517" s="83" t="s">
        <v>2696</v>
      </c>
      <c r="CE517" s="83"/>
      <c r="CF517" s="83" t="s">
        <v>860</v>
      </c>
      <c r="CG517" s="83" t="s">
        <v>861</v>
      </c>
      <c r="CH517" s="83" t="s">
        <v>2725</v>
      </c>
      <c r="CI517" s="83" t="s">
        <v>1358</v>
      </c>
      <c r="CJ517" s="83" t="s">
        <v>2726</v>
      </c>
      <c r="CK517" s="144">
        <v>0</v>
      </c>
      <c r="CL517"/>
    </row>
    <row r="518" spans="1:90" s="79" customFormat="1">
      <c r="A518" s="83" t="s">
        <v>858</v>
      </c>
      <c r="B518" s="83" t="s">
        <v>3521</v>
      </c>
      <c r="C518" s="83"/>
      <c r="D518" s="83" t="s">
        <v>714</v>
      </c>
      <c r="E518" s="83" t="s">
        <v>3524</v>
      </c>
      <c r="F518" s="83" t="s">
        <v>3425</v>
      </c>
      <c r="G518" s="83" t="s">
        <v>1155</v>
      </c>
      <c r="H518" s="83" t="s">
        <v>1201</v>
      </c>
      <c r="I518" s="83" t="s">
        <v>1202</v>
      </c>
      <c r="J518" s="83" t="s">
        <v>1203</v>
      </c>
      <c r="K518" s="83" t="s">
        <v>565</v>
      </c>
      <c r="L518" s="83" t="s">
        <v>398</v>
      </c>
      <c r="M518" s="83" t="s">
        <v>399</v>
      </c>
      <c r="N518" s="83" t="s">
        <v>3057</v>
      </c>
      <c r="O518" s="83" t="s">
        <v>106</v>
      </c>
      <c r="P518" s="83">
        <v>5</v>
      </c>
      <c r="Q518" s="83" t="s">
        <v>106</v>
      </c>
      <c r="R518" s="83" t="s">
        <v>2799</v>
      </c>
      <c r="S518" s="83" t="s">
        <v>2843</v>
      </c>
      <c r="T518" s="83" t="s">
        <v>2703</v>
      </c>
      <c r="U518" s="83" t="s">
        <v>401</v>
      </c>
      <c r="V518" s="97"/>
      <c r="W518" s="97"/>
      <c r="X518" s="97"/>
      <c r="Y518" s="97"/>
      <c r="Z518" s="97"/>
      <c r="AA518" s="97"/>
      <c r="AB518" s="97"/>
      <c r="AC518" s="83" t="s">
        <v>401</v>
      </c>
      <c r="AD518" s="83">
        <v>13000</v>
      </c>
      <c r="AE518" s="83"/>
      <c r="AF518" s="83">
        <v>1000</v>
      </c>
      <c r="AG518" s="83"/>
      <c r="AH518" s="83"/>
      <c r="AI518" s="83"/>
      <c r="AJ518" s="83">
        <v>1</v>
      </c>
      <c r="AK518" s="83">
        <v>1</v>
      </c>
      <c r="AL518" s="83">
        <v>100</v>
      </c>
      <c r="AM518" s="83" t="s">
        <v>2693</v>
      </c>
      <c r="AN518" s="83"/>
      <c r="AO518" s="83"/>
      <c r="AP518" s="83"/>
      <c r="AQ518" s="83"/>
      <c r="AR518" s="83"/>
      <c r="AS518" s="83"/>
      <c r="AT518" s="83"/>
      <c r="AU518" s="83"/>
      <c r="AV518" s="83"/>
      <c r="AW518" s="83"/>
      <c r="AX518" s="83"/>
      <c r="AY518" s="83"/>
      <c r="AZ518" s="83"/>
      <c r="BA518" s="83"/>
      <c r="BB518" s="83"/>
      <c r="BC518" s="83"/>
      <c r="BD518" s="83"/>
      <c r="BE518" s="83"/>
      <c r="BF518" s="83"/>
      <c r="BG518" s="83"/>
      <c r="BH518" s="83"/>
      <c r="BI518" s="83"/>
      <c r="BJ518" s="83"/>
      <c r="BK518" s="83" t="s">
        <v>2694</v>
      </c>
      <c r="BL518" s="83" t="s">
        <v>2695</v>
      </c>
      <c r="BM518" s="83" t="s">
        <v>2693</v>
      </c>
      <c r="BN518" s="83" t="s">
        <v>2698</v>
      </c>
      <c r="BO518" s="83" t="s">
        <v>2697</v>
      </c>
      <c r="BP518" s="83" t="s">
        <v>2699</v>
      </c>
      <c r="BQ518" s="83" t="s">
        <v>2699</v>
      </c>
      <c r="BR518" s="83" t="s">
        <v>2693</v>
      </c>
      <c r="BS518" s="83" t="s">
        <v>2699</v>
      </c>
      <c r="BT518" s="83" t="s">
        <v>2696</v>
      </c>
      <c r="BU518" s="83" t="s">
        <v>2699</v>
      </c>
      <c r="BV518" s="83" t="s">
        <v>2697</v>
      </c>
      <c r="BW518" s="83" t="s">
        <v>2698</v>
      </c>
      <c r="BX518" s="83" t="s">
        <v>2696</v>
      </c>
      <c r="BY518" s="83" t="s">
        <v>2699</v>
      </c>
      <c r="BZ518" s="83" t="s">
        <v>2699</v>
      </c>
      <c r="CA518" s="83" t="s">
        <v>2693</v>
      </c>
      <c r="CB518" s="83" t="s">
        <v>2694</v>
      </c>
      <c r="CC518" s="83" t="s">
        <v>2696</v>
      </c>
      <c r="CD518" s="83" t="s">
        <v>2696</v>
      </c>
      <c r="CE518" s="83"/>
      <c r="CF518" s="83" t="s">
        <v>804</v>
      </c>
      <c r="CG518" s="83" t="s">
        <v>805</v>
      </c>
      <c r="CH518" s="83" t="s">
        <v>2725</v>
      </c>
      <c r="CI518" s="83" t="s">
        <v>1358</v>
      </c>
      <c r="CJ518" s="83" t="s">
        <v>2726</v>
      </c>
      <c r="CK518" s="144">
        <v>0</v>
      </c>
      <c r="CL518"/>
    </row>
    <row r="519" spans="1:90" s="79" customFormat="1">
      <c r="A519" s="83" t="s">
        <v>3525</v>
      </c>
      <c r="B519" s="83" t="s">
        <v>709</v>
      </c>
      <c r="C519" s="83"/>
      <c r="D519" s="83" t="s">
        <v>688</v>
      </c>
      <c r="E519" s="83" t="s">
        <v>3526</v>
      </c>
      <c r="F519" s="83" t="s">
        <v>3527</v>
      </c>
      <c r="G519" s="83" t="s">
        <v>1153</v>
      </c>
      <c r="H519" s="83" t="s">
        <v>1201</v>
      </c>
      <c r="I519" s="83" t="s">
        <v>1202</v>
      </c>
      <c r="J519" s="83" t="s">
        <v>1203</v>
      </c>
      <c r="K519" s="83" t="s">
        <v>565</v>
      </c>
      <c r="L519" s="83" t="s">
        <v>398</v>
      </c>
      <c r="M519" s="83" t="s">
        <v>399</v>
      </c>
      <c r="N519" s="83" t="s">
        <v>3057</v>
      </c>
      <c r="O519" s="83" t="s">
        <v>106</v>
      </c>
      <c r="P519" s="83">
        <v>0</v>
      </c>
      <c r="Q519" s="83" t="s">
        <v>106</v>
      </c>
      <c r="R519" s="83" t="s">
        <v>2693</v>
      </c>
      <c r="S519" s="83" t="s">
        <v>2720</v>
      </c>
      <c r="T519" s="83" t="s">
        <v>2703</v>
      </c>
      <c r="U519" s="83" t="s">
        <v>401</v>
      </c>
      <c r="V519" s="97"/>
      <c r="W519" s="97"/>
      <c r="X519" s="97"/>
      <c r="Y519" s="97"/>
      <c r="Z519" s="97"/>
      <c r="AA519" s="97"/>
      <c r="AB519" s="97"/>
      <c r="AC519" s="83" t="s">
        <v>401</v>
      </c>
      <c r="AD519" s="83">
        <v>0</v>
      </c>
      <c r="AE519" s="83"/>
      <c r="AF519" s="83">
        <v>80000</v>
      </c>
      <c r="AG519" s="83"/>
      <c r="AH519" s="83"/>
      <c r="AI519" s="83"/>
      <c r="AJ519" s="83">
        <v>1</v>
      </c>
      <c r="AK519" s="83">
        <v>0</v>
      </c>
      <c r="AL519" s="83">
        <v>0</v>
      </c>
      <c r="AM519" s="83" t="s">
        <v>2693</v>
      </c>
      <c r="AN519" s="83"/>
      <c r="AO519" s="83"/>
      <c r="AP519" s="83"/>
      <c r="AQ519" s="83"/>
      <c r="AR519" s="83"/>
      <c r="AS519" s="83"/>
      <c r="AT519" s="83"/>
      <c r="AU519" s="83"/>
      <c r="AV519" s="83"/>
      <c r="AW519" s="83"/>
      <c r="AX519" s="83"/>
      <c r="AY519" s="83"/>
      <c r="AZ519" s="83"/>
      <c r="BA519" s="83"/>
      <c r="BB519" s="83"/>
      <c r="BC519" s="83"/>
      <c r="BD519" s="83"/>
      <c r="BE519" s="83"/>
      <c r="BF519" s="83"/>
      <c r="BG519" s="83"/>
      <c r="BH519" s="83"/>
      <c r="BI519" s="83"/>
      <c r="BJ519" s="83"/>
      <c r="BK519" s="83">
        <v>0</v>
      </c>
      <c r="BL519" s="83">
        <v>0</v>
      </c>
      <c r="BM519" s="83">
        <v>0</v>
      </c>
      <c r="BN519" s="83">
        <v>0</v>
      </c>
      <c r="BO519" s="83">
        <v>0</v>
      </c>
      <c r="BP519" s="83">
        <v>0</v>
      </c>
      <c r="BQ519" s="83">
        <v>0</v>
      </c>
      <c r="BR519" s="83">
        <v>0</v>
      </c>
      <c r="BS519" s="83">
        <v>0</v>
      </c>
      <c r="BT519" s="83">
        <v>0</v>
      </c>
      <c r="BU519" s="83">
        <v>1</v>
      </c>
      <c r="BV519" s="83">
        <v>0</v>
      </c>
      <c r="BW519" s="83">
        <v>0</v>
      </c>
      <c r="BX519" s="83">
        <v>0</v>
      </c>
      <c r="BY519" s="83">
        <v>0</v>
      </c>
      <c r="BZ519" s="83">
        <v>0</v>
      </c>
      <c r="CA519" s="83">
        <v>0</v>
      </c>
      <c r="CB519" s="83">
        <v>0</v>
      </c>
      <c r="CC519" s="83">
        <v>0</v>
      </c>
      <c r="CD519" s="83">
        <v>0</v>
      </c>
      <c r="CE519" s="83"/>
      <c r="CF519" s="83" t="s">
        <v>3528</v>
      </c>
      <c r="CG519" s="83" t="s">
        <v>3529</v>
      </c>
      <c r="CH519" s="83"/>
      <c r="CI519" s="83"/>
      <c r="CJ519" s="83"/>
      <c r="CK519" s="144">
        <v>0</v>
      </c>
      <c r="CL519"/>
    </row>
    <row r="520" spans="1:90" s="79" customFormat="1">
      <c r="A520" s="83" t="s">
        <v>2909</v>
      </c>
      <c r="B520" s="83" t="s">
        <v>724</v>
      </c>
      <c r="C520" s="83"/>
      <c r="D520" s="83" t="s">
        <v>688</v>
      </c>
      <c r="E520" s="83" t="s">
        <v>2500</v>
      </c>
      <c r="F520" s="83" t="s">
        <v>725</v>
      </c>
      <c r="G520" s="83" t="s">
        <v>1900</v>
      </c>
      <c r="H520" s="83" t="s">
        <v>1201</v>
      </c>
      <c r="I520" s="83" t="s">
        <v>1202</v>
      </c>
      <c r="J520" s="83" t="s">
        <v>1203</v>
      </c>
      <c r="K520" s="83" t="s">
        <v>565</v>
      </c>
      <c r="L520" s="83" t="s">
        <v>398</v>
      </c>
      <c r="M520" s="83" t="s">
        <v>399</v>
      </c>
      <c r="N520" s="83" t="s">
        <v>2899</v>
      </c>
      <c r="O520" s="83" t="s">
        <v>106</v>
      </c>
      <c r="P520" s="83">
        <v>4</v>
      </c>
      <c r="Q520" s="83" t="s">
        <v>106</v>
      </c>
      <c r="R520" s="83" t="s">
        <v>2727</v>
      </c>
      <c r="S520" s="83" t="s">
        <v>2904</v>
      </c>
      <c r="T520" s="83" t="s">
        <v>2843</v>
      </c>
      <c r="U520" s="83" t="s">
        <v>401</v>
      </c>
      <c r="V520" s="97"/>
      <c r="W520" s="97"/>
      <c r="X520" s="97"/>
      <c r="Y520" s="97"/>
      <c r="Z520" s="97"/>
      <c r="AA520" s="97"/>
      <c r="AB520" s="97"/>
      <c r="AC520" s="83" t="s">
        <v>401</v>
      </c>
      <c r="AD520" s="83">
        <v>221000</v>
      </c>
      <c r="AE520" s="83"/>
      <c r="AF520" s="83">
        <v>0</v>
      </c>
      <c r="AG520" s="83"/>
      <c r="AH520" s="83"/>
      <c r="AI520" s="83"/>
      <c r="AJ520" s="83">
        <v>1</v>
      </c>
      <c r="AK520" s="83">
        <v>1</v>
      </c>
      <c r="AL520" s="83">
        <v>3000</v>
      </c>
      <c r="AM520" s="83" t="s">
        <v>2693</v>
      </c>
      <c r="AN520" s="83"/>
      <c r="AO520" s="83"/>
      <c r="AP520" s="83"/>
      <c r="AQ520" s="83"/>
      <c r="AR520" s="83"/>
      <c r="AS520" s="83"/>
      <c r="AT520" s="83"/>
      <c r="AU520" s="83"/>
      <c r="AV520" s="83"/>
      <c r="AW520" s="83"/>
      <c r="AX520" s="83"/>
      <c r="AY520" s="83"/>
      <c r="AZ520" s="83"/>
      <c r="BA520" s="83"/>
      <c r="BB520" s="83"/>
      <c r="BC520" s="83"/>
      <c r="BD520" s="83"/>
      <c r="BE520" s="83"/>
      <c r="BF520" s="83"/>
      <c r="BG520" s="83"/>
      <c r="BH520" s="83"/>
      <c r="BI520" s="83"/>
      <c r="BJ520" s="83"/>
      <c r="BK520" s="83" t="s">
        <v>2694</v>
      </c>
      <c r="BL520" s="83" t="s">
        <v>2693</v>
      </c>
      <c r="BM520" s="83" t="s">
        <v>2699</v>
      </c>
      <c r="BN520" s="83" t="s">
        <v>2698</v>
      </c>
      <c r="BO520" s="83" t="s">
        <v>2697</v>
      </c>
      <c r="BP520" s="83" t="s">
        <v>2697</v>
      </c>
      <c r="BQ520" s="83" t="s">
        <v>2699</v>
      </c>
      <c r="BR520" s="83" t="s">
        <v>2699</v>
      </c>
      <c r="BS520" s="83" t="s">
        <v>2699</v>
      </c>
      <c r="BT520" s="83" t="s">
        <v>2696</v>
      </c>
      <c r="BU520" s="83" t="s">
        <v>2699</v>
      </c>
      <c r="BV520" s="83" t="s">
        <v>2696</v>
      </c>
      <c r="BW520" s="83" t="s">
        <v>2698</v>
      </c>
      <c r="BX520" s="83" t="s">
        <v>2696</v>
      </c>
      <c r="BY520" s="83" t="s">
        <v>2699</v>
      </c>
      <c r="BZ520" s="83" t="s">
        <v>2693</v>
      </c>
      <c r="CA520" s="83" t="s">
        <v>2693</v>
      </c>
      <c r="CB520" s="83" t="s">
        <v>2694</v>
      </c>
      <c r="CC520" s="83" t="s">
        <v>2699</v>
      </c>
      <c r="CD520" s="83" t="s">
        <v>2696</v>
      </c>
      <c r="CE520" s="83"/>
      <c r="CF520" s="83" t="s">
        <v>2910</v>
      </c>
      <c r="CG520" s="83" t="s">
        <v>2911</v>
      </c>
      <c r="CH520" s="83" t="s">
        <v>2693</v>
      </c>
      <c r="CI520" s="83" t="s">
        <v>3992</v>
      </c>
      <c r="CJ520" s="83" t="s">
        <v>2701</v>
      </c>
      <c r="CK520" s="144">
        <v>0</v>
      </c>
      <c r="CL520"/>
    </row>
    <row r="521" spans="1:90" s="79" customFormat="1">
      <c r="A521" s="83" t="s">
        <v>1217</v>
      </c>
      <c r="B521" s="83" t="s">
        <v>1244</v>
      </c>
      <c r="C521" s="83"/>
      <c r="D521" s="83" t="s">
        <v>688</v>
      </c>
      <c r="E521" s="83" t="s">
        <v>1266</v>
      </c>
      <c r="F521" s="83" t="s">
        <v>1304</v>
      </c>
      <c r="G521" s="83" t="s">
        <v>1306</v>
      </c>
      <c r="H521" s="83" t="s">
        <v>1201</v>
      </c>
      <c r="I521" s="83" t="s">
        <v>1202</v>
      </c>
      <c r="J521" s="83" t="s">
        <v>1203</v>
      </c>
      <c r="K521" s="83" t="s">
        <v>565</v>
      </c>
      <c r="L521" s="83" t="s">
        <v>398</v>
      </c>
      <c r="M521" s="83" t="s">
        <v>399</v>
      </c>
      <c r="N521" s="83" t="s">
        <v>2899</v>
      </c>
      <c r="O521" s="83" t="s">
        <v>106</v>
      </c>
      <c r="P521" s="83">
        <v>5</v>
      </c>
      <c r="Q521" s="83" t="s">
        <v>106</v>
      </c>
      <c r="R521" s="83" t="s">
        <v>2694</v>
      </c>
      <c r="S521" s="83" t="s">
        <v>1446</v>
      </c>
      <c r="T521" s="83" t="s">
        <v>2703</v>
      </c>
      <c r="U521" s="83" t="s">
        <v>401</v>
      </c>
      <c r="V521" s="97"/>
      <c r="W521" s="97"/>
      <c r="X521" s="97"/>
      <c r="Y521" s="97"/>
      <c r="Z521" s="97"/>
      <c r="AA521" s="97"/>
      <c r="AB521" s="97"/>
      <c r="AC521" s="83" t="s">
        <v>401</v>
      </c>
      <c r="AD521" s="83">
        <v>6526000</v>
      </c>
      <c r="AE521" s="83"/>
      <c r="AF521" s="83">
        <v>890000</v>
      </c>
      <c r="AG521" s="83"/>
      <c r="AH521" s="83"/>
      <c r="AI521" s="83"/>
      <c r="AJ521" s="83">
        <v>1</v>
      </c>
      <c r="AK521" s="83">
        <v>3</v>
      </c>
      <c r="AL521" s="83">
        <v>40090</v>
      </c>
      <c r="AM521" s="83" t="s">
        <v>2693</v>
      </c>
      <c r="AN521" s="83"/>
      <c r="AO521" s="83"/>
      <c r="AP521" s="83"/>
      <c r="AQ521" s="83"/>
      <c r="AR521" s="83"/>
      <c r="AS521" s="83"/>
      <c r="AT521" s="83"/>
      <c r="AU521" s="83"/>
      <c r="AV521" s="83"/>
      <c r="AW521" s="83"/>
      <c r="AX521" s="83"/>
      <c r="AY521" s="83"/>
      <c r="AZ521" s="83"/>
      <c r="BA521" s="83"/>
      <c r="BB521" s="83"/>
      <c r="BC521" s="83"/>
      <c r="BD521" s="83"/>
      <c r="BE521" s="83"/>
      <c r="BF521" s="83"/>
      <c r="BG521" s="83"/>
      <c r="BH521" s="83"/>
      <c r="BI521" s="83"/>
      <c r="BJ521" s="83"/>
      <c r="BK521" s="83" t="s">
        <v>2694</v>
      </c>
      <c r="BL521" s="83" t="s">
        <v>2695</v>
      </c>
      <c r="BM521" s="83" t="s">
        <v>2693</v>
      </c>
      <c r="BN521" s="83" t="s">
        <v>2698</v>
      </c>
      <c r="BO521" s="83" t="s">
        <v>2697</v>
      </c>
      <c r="BP521" s="83" t="s">
        <v>2697</v>
      </c>
      <c r="BQ521" s="83" t="s">
        <v>2699</v>
      </c>
      <c r="BR521" s="83" t="s">
        <v>2693</v>
      </c>
      <c r="BS521" s="83" t="s">
        <v>2699</v>
      </c>
      <c r="BT521" s="83" t="s">
        <v>2696</v>
      </c>
      <c r="BU521" s="83" t="s">
        <v>2699</v>
      </c>
      <c r="BV521" s="83" t="s">
        <v>2696</v>
      </c>
      <c r="BW521" s="83" t="s">
        <v>2698</v>
      </c>
      <c r="BX521" s="83" t="s">
        <v>2696</v>
      </c>
      <c r="BY521" s="83" t="s">
        <v>2699</v>
      </c>
      <c r="BZ521" s="83" t="s">
        <v>2699</v>
      </c>
      <c r="CA521" s="83" t="s">
        <v>2699</v>
      </c>
      <c r="CB521" s="83">
        <v>3</v>
      </c>
      <c r="CC521" s="83" t="s">
        <v>2699</v>
      </c>
      <c r="CD521" s="83" t="s">
        <v>2696</v>
      </c>
      <c r="CE521" s="83"/>
      <c r="CF521" s="83" t="s">
        <v>1369</v>
      </c>
      <c r="CG521" s="83" t="s">
        <v>1370</v>
      </c>
      <c r="CH521" s="83" t="s">
        <v>2725</v>
      </c>
      <c r="CI521" s="83" t="s">
        <v>1358</v>
      </c>
      <c r="CJ521" s="83" t="s">
        <v>2726</v>
      </c>
      <c r="CK521" s="144">
        <v>0</v>
      </c>
      <c r="CL521" s="99">
        <v>5000</v>
      </c>
    </row>
    <row r="522" spans="1:90" s="79" customFormat="1">
      <c r="A522" s="83" t="s">
        <v>1217</v>
      </c>
      <c r="B522" s="83" t="s">
        <v>1244</v>
      </c>
      <c r="C522" s="83"/>
      <c r="D522" s="83" t="s">
        <v>673</v>
      </c>
      <c r="E522" s="83" t="s">
        <v>1267</v>
      </c>
      <c r="F522" s="83" t="s">
        <v>1304</v>
      </c>
      <c r="G522" s="83" t="s">
        <v>1306</v>
      </c>
      <c r="H522" s="83" t="s">
        <v>1201</v>
      </c>
      <c r="I522" s="83" t="s">
        <v>1202</v>
      </c>
      <c r="J522" s="83" t="s">
        <v>1203</v>
      </c>
      <c r="K522" s="83" t="s">
        <v>565</v>
      </c>
      <c r="L522" s="83" t="s">
        <v>398</v>
      </c>
      <c r="M522" s="83" t="s">
        <v>399</v>
      </c>
      <c r="N522" s="83" t="s">
        <v>2899</v>
      </c>
      <c r="O522" s="83" t="s">
        <v>106</v>
      </c>
      <c r="P522" s="83">
        <v>8</v>
      </c>
      <c r="Q522" s="83" t="s">
        <v>106</v>
      </c>
      <c r="R522" s="83" t="s">
        <v>2694</v>
      </c>
      <c r="S522" s="83" t="s">
        <v>1455</v>
      </c>
      <c r="T522" s="83" t="s">
        <v>2703</v>
      </c>
      <c r="U522" s="83" t="s">
        <v>401</v>
      </c>
      <c r="V522" s="97"/>
      <c r="W522" s="97"/>
      <c r="X522" s="97"/>
      <c r="Y522" s="97"/>
      <c r="Z522" s="97"/>
      <c r="AA522" s="97"/>
      <c r="AB522" s="97"/>
      <c r="AC522" s="83" t="s">
        <v>401</v>
      </c>
      <c r="AD522" s="83">
        <v>3115000</v>
      </c>
      <c r="AE522" s="83"/>
      <c r="AF522" s="83">
        <v>435000</v>
      </c>
      <c r="AG522" s="83"/>
      <c r="AH522" s="83"/>
      <c r="AI522" s="83"/>
      <c r="AJ522" s="83">
        <v>1</v>
      </c>
      <c r="AK522" s="83">
        <v>1</v>
      </c>
      <c r="AL522" s="83">
        <v>19590</v>
      </c>
      <c r="AM522" s="83" t="s">
        <v>2693</v>
      </c>
      <c r="AN522" s="83"/>
      <c r="AO522" s="83"/>
      <c r="AP522" s="83"/>
      <c r="AQ522" s="83"/>
      <c r="AR522" s="83"/>
      <c r="AS522" s="83"/>
      <c r="AT522" s="83"/>
      <c r="AU522" s="83"/>
      <c r="AV522" s="83"/>
      <c r="AW522" s="83"/>
      <c r="AX522" s="83"/>
      <c r="AY522" s="83"/>
      <c r="AZ522" s="83"/>
      <c r="BA522" s="83"/>
      <c r="BB522" s="83"/>
      <c r="BC522" s="83"/>
      <c r="BD522" s="83"/>
      <c r="BE522" s="83"/>
      <c r="BF522" s="83"/>
      <c r="BG522" s="83"/>
      <c r="BH522" s="83"/>
      <c r="BI522" s="83"/>
      <c r="BJ522" s="83"/>
      <c r="BK522" s="83" t="s">
        <v>2694</v>
      </c>
      <c r="BL522" s="83" t="s">
        <v>2695</v>
      </c>
      <c r="BM522" s="83" t="s">
        <v>2693</v>
      </c>
      <c r="BN522" s="83" t="s">
        <v>2698</v>
      </c>
      <c r="BO522" s="83" t="s">
        <v>2697</v>
      </c>
      <c r="BP522" s="83" t="s">
        <v>2697</v>
      </c>
      <c r="BQ522" s="83" t="s">
        <v>2699</v>
      </c>
      <c r="BR522" s="83" t="s">
        <v>2693</v>
      </c>
      <c r="BS522" s="83" t="s">
        <v>2699</v>
      </c>
      <c r="BT522" s="83" t="s">
        <v>2696</v>
      </c>
      <c r="BU522" s="83" t="s">
        <v>2699</v>
      </c>
      <c r="BV522" s="83" t="s">
        <v>2696</v>
      </c>
      <c r="BW522" s="83" t="s">
        <v>2699</v>
      </c>
      <c r="BX522" s="83" t="s">
        <v>2696</v>
      </c>
      <c r="BY522" s="83" t="s">
        <v>2699</v>
      </c>
      <c r="BZ522" s="83" t="s">
        <v>2699</v>
      </c>
      <c r="CA522" s="83" t="s">
        <v>2699</v>
      </c>
      <c r="CB522" s="83">
        <v>9</v>
      </c>
      <c r="CC522" s="83" t="s">
        <v>2699</v>
      </c>
      <c r="CD522" s="83" t="s">
        <v>2696</v>
      </c>
      <c r="CE522" s="83"/>
      <c r="CF522" s="83" t="s">
        <v>1371</v>
      </c>
      <c r="CG522" s="83" t="s">
        <v>1372</v>
      </c>
      <c r="CH522" s="83" t="s">
        <v>2695</v>
      </c>
      <c r="CI522" s="83" t="s">
        <v>648</v>
      </c>
      <c r="CJ522" s="83" t="s">
        <v>2726</v>
      </c>
      <c r="CK522" s="144">
        <v>0</v>
      </c>
      <c r="CL522"/>
    </row>
    <row r="523" spans="1:90" s="79" customFormat="1">
      <c r="A523" s="83" t="s">
        <v>2898</v>
      </c>
      <c r="B523" s="83" t="s">
        <v>720</v>
      </c>
      <c r="C523" s="83"/>
      <c r="D523" s="83" t="s">
        <v>688</v>
      </c>
      <c r="E523" s="83" t="s">
        <v>2498</v>
      </c>
      <c r="F523" s="83" t="s">
        <v>2827</v>
      </c>
      <c r="G523" s="83" t="s">
        <v>2270</v>
      </c>
      <c r="H523" s="83" t="s">
        <v>1201</v>
      </c>
      <c r="I523" s="83" t="s">
        <v>1202</v>
      </c>
      <c r="J523" s="83" t="s">
        <v>1203</v>
      </c>
      <c r="K523" s="83" t="s">
        <v>565</v>
      </c>
      <c r="L523" s="83" t="s">
        <v>398</v>
      </c>
      <c r="M523" s="83" t="s">
        <v>399</v>
      </c>
      <c r="N523" s="83" t="s">
        <v>2899</v>
      </c>
      <c r="O523" s="83" t="s">
        <v>106</v>
      </c>
      <c r="P523" s="83">
        <v>8</v>
      </c>
      <c r="Q523" s="83" t="s">
        <v>106</v>
      </c>
      <c r="R523" s="83" t="s">
        <v>2691</v>
      </c>
      <c r="S523" s="83" t="s">
        <v>2843</v>
      </c>
      <c r="T523" s="83" t="s">
        <v>2843</v>
      </c>
      <c r="U523" s="83" t="s">
        <v>401</v>
      </c>
      <c r="V523" s="97"/>
      <c r="W523" s="97"/>
      <c r="X523" s="97"/>
      <c r="Y523" s="97"/>
      <c r="Z523" s="97"/>
      <c r="AA523" s="97"/>
      <c r="AB523" s="97"/>
      <c r="AC523" s="83" t="s">
        <v>401</v>
      </c>
      <c r="AD523" s="83">
        <v>7686000</v>
      </c>
      <c r="AE523" s="83"/>
      <c r="AF523" s="83">
        <v>298000</v>
      </c>
      <c r="AG523" s="83"/>
      <c r="AH523" s="83"/>
      <c r="AI523" s="83"/>
      <c r="AJ523" s="83">
        <v>1</v>
      </c>
      <c r="AK523" s="83">
        <v>1</v>
      </c>
      <c r="AL523" s="83">
        <v>32731</v>
      </c>
      <c r="AM523" s="83" t="s">
        <v>2693</v>
      </c>
      <c r="AN523" s="83"/>
      <c r="AO523" s="83"/>
      <c r="AP523" s="83"/>
      <c r="AQ523" s="83"/>
      <c r="AR523" s="83"/>
      <c r="AS523" s="83"/>
      <c r="AT523" s="83"/>
      <c r="AU523" s="83"/>
      <c r="AV523" s="83"/>
      <c r="AW523" s="83"/>
      <c r="AX523" s="83"/>
      <c r="AY523" s="83"/>
      <c r="AZ523" s="83"/>
      <c r="BA523" s="83"/>
      <c r="BB523" s="83"/>
      <c r="BC523" s="83"/>
      <c r="BD523" s="83"/>
      <c r="BE523" s="83"/>
      <c r="BF523" s="83"/>
      <c r="BG523" s="83"/>
      <c r="BH523" s="83"/>
      <c r="BI523" s="83"/>
      <c r="BJ523" s="83"/>
      <c r="BK523" s="83" t="s">
        <v>2694</v>
      </c>
      <c r="BL523" s="83" t="s">
        <v>2697</v>
      </c>
      <c r="BM523" s="83" t="s">
        <v>2699</v>
      </c>
      <c r="BN523" s="83" t="s">
        <v>2698</v>
      </c>
      <c r="BO523" s="83" t="s">
        <v>2697</v>
      </c>
      <c r="BP523" s="83" t="s">
        <v>2697</v>
      </c>
      <c r="BQ523" s="83" t="s">
        <v>2699</v>
      </c>
      <c r="BR523" s="83" t="s">
        <v>2699</v>
      </c>
      <c r="BS523" s="83" t="s">
        <v>2699</v>
      </c>
      <c r="BT523" s="83" t="s">
        <v>2696</v>
      </c>
      <c r="BU523" s="83" t="s">
        <v>2699</v>
      </c>
      <c r="BV523" s="83" t="s">
        <v>2699</v>
      </c>
      <c r="BW523" s="83" t="s">
        <v>2698</v>
      </c>
      <c r="BX523" s="83" t="s">
        <v>2696</v>
      </c>
      <c r="BY523" s="83" t="s">
        <v>2699</v>
      </c>
      <c r="BZ523" s="83" t="s">
        <v>2693</v>
      </c>
      <c r="CA523" s="83" t="s">
        <v>2693</v>
      </c>
      <c r="CB523" s="83" t="s">
        <v>2697</v>
      </c>
      <c r="CC523" s="83" t="s">
        <v>2699</v>
      </c>
      <c r="CD523" s="83" t="s">
        <v>2699</v>
      </c>
      <c r="CE523" s="83"/>
      <c r="CF523" s="83" t="s">
        <v>2900</v>
      </c>
      <c r="CG523" s="83" t="s">
        <v>2901</v>
      </c>
      <c r="CH523" s="83" t="s">
        <v>2695</v>
      </c>
      <c r="CI523" s="83" t="s">
        <v>648</v>
      </c>
      <c r="CJ523" s="83" t="s">
        <v>2726</v>
      </c>
      <c r="CK523" s="144">
        <v>0</v>
      </c>
      <c r="CL523" s="99">
        <v>70000</v>
      </c>
    </row>
    <row r="524" spans="1:90" s="79" customFormat="1">
      <c r="A524" s="83" t="s">
        <v>3530</v>
      </c>
      <c r="B524" s="83" t="s">
        <v>692</v>
      </c>
      <c r="C524" s="83"/>
      <c r="D524" s="83" t="s">
        <v>688</v>
      </c>
      <c r="E524" s="83" t="s">
        <v>3531</v>
      </c>
      <c r="F524" s="83" t="s">
        <v>2831</v>
      </c>
      <c r="G524" s="83" t="s">
        <v>1193</v>
      </c>
      <c r="H524" s="83" t="s">
        <v>1201</v>
      </c>
      <c r="I524" s="83" t="s">
        <v>1202</v>
      </c>
      <c r="J524" s="83" t="s">
        <v>1203</v>
      </c>
      <c r="K524" s="83" t="s">
        <v>565</v>
      </c>
      <c r="L524" s="83" t="s">
        <v>398</v>
      </c>
      <c r="M524" s="83" t="s">
        <v>399</v>
      </c>
      <c r="N524" s="83" t="s">
        <v>2752</v>
      </c>
      <c r="O524" s="83" t="s">
        <v>106</v>
      </c>
      <c r="P524" s="83">
        <v>0</v>
      </c>
      <c r="Q524" s="83" t="s">
        <v>106</v>
      </c>
      <c r="R524" s="83" t="s">
        <v>3121</v>
      </c>
      <c r="S524" s="83" t="s">
        <v>1458</v>
      </c>
      <c r="T524" s="83" t="s">
        <v>2712</v>
      </c>
      <c r="U524" s="83" t="s">
        <v>401</v>
      </c>
      <c r="V524" s="97"/>
      <c r="W524" s="97"/>
      <c r="X524" s="97"/>
      <c r="Y524" s="97"/>
      <c r="Z524" s="97"/>
      <c r="AA524" s="97"/>
      <c r="AB524" s="97"/>
      <c r="AC524" s="83" t="s">
        <v>401</v>
      </c>
      <c r="AD524" s="83">
        <v>0</v>
      </c>
      <c r="AE524" s="83"/>
      <c r="AF524" s="83">
        <v>80000</v>
      </c>
      <c r="AG524" s="83"/>
      <c r="AH524" s="83"/>
      <c r="AI524" s="83"/>
      <c r="AJ524" s="83">
        <v>1</v>
      </c>
      <c r="AK524" s="83">
        <v>0</v>
      </c>
      <c r="AL524" s="83">
        <v>0</v>
      </c>
      <c r="AM524" s="83" t="s">
        <v>2693</v>
      </c>
      <c r="AN524" s="83"/>
      <c r="AO524" s="83"/>
      <c r="AP524" s="83"/>
      <c r="AQ524" s="83"/>
      <c r="AR524" s="83"/>
      <c r="AS524" s="83"/>
      <c r="AT524" s="83"/>
      <c r="AU524" s="83"/>
      <c r="AV524" s="83"/>
      <c r="AW524" s="83"/>
      <c r="AX524" s="83"/>
      <c r="AY524" s="83"/>
      <c r="AZ524" s="83"/>
      <c r="BA524" s="83"/>
      <c r="BB524" s="83"/>
      <c r="BC524" s="83"/>
      <c r="BD524" s="83"/>
      <c r="BE524" s="83"/>
      <c r="BF524" s="83"/>
      <c r="BG524" s="83"/>
      <c r="BH524" s="83"/>
      <c r="BI524" s="83"/>
      <c r="BJ524" s="83"/>
      <c r="BK524" s="83">
        <v>0</v>
      </c>
      <c r="BL524" s="83">
        <v>0</v>
      </c>
      <c r="BM524" s="83">
        <v>0</v>
      </c>
      <c r="BN524" s="83">
        <v>0</v>
      </c>
      <c r="BO524" s="83">
        <v>0</v>
      </c>
      <c r="BP524" s="83">
        <v>0</v>
      </c>
      <c r="BQ524" s="83">
        <v>0</v>
      </c>
      <c r="BR524" s="83">
        <v>0</v>
      </c>
      <c r="BS524" s="83">
        <v>0</v>
      </c>
      <c r="BT524" s="83">
        <v>0</v>
      </c>
      <c r="BU524" s="83">
        <v>1</v>
      </c>
      <c r="BV524" s="83">
        <v>0</v>
      </c>
      <c r="BW524" s="83">
        <v>0</v>
      </c>
      <c r="BX524" s="83">
        <v>0</v>
      </c>
      <c r="BY524" s="83">
        <v>0</v>
      </c>
      <c r="BZ524" s="83">
        <v>0</v>
      </c>
      <c r="CA524" s="83">
        <v>0</v>
      </c>
      <c r="CB524" s="83">
        <v>0</v>
      </c>
      <c r="CC524" s="83">
        <v>0</v>
      </c>
      <c r="CD524" s="83">
        <v>0</v>
      </c>
      <c r="CE524" s="83"/>
      <c r="CF524" s="83" t="s">
        <v>834</v>
      </c>
      <c r="CG524" s="83" t="s">
        <v>835</v>
      </c>
      <c r="CH524" s="83"/>
      <c r="CI524" s="83"/>
      <c r="CJ524" s="83"/>
      <c r="CK524" s="144">
        <v>0</v>
      </c>
      <c r="CL524"/>
    </row>
    <row r="525" spans="1:90" s="79" customFormat="1">
      <c r="A525" s="83" t="s">
        <v>3781</v>
      </c>
      <c r="B525" s="83" t="s">
        <v>3811</v>
      </c>
      <c r="C525" s="83"/>
      <c r="D525" s="83" t="s">
        <v>688</v>
      </c>
      <c r="E525" s="83" t="s">
        <v>3839</v>
      </c>
      <c r="F525" s="83">
        <v>637</v>
      </c>
      <c r="G525" s="83" t="s">
        <v>3870</v>
      </c>
      <c r="H525" s="83" t="s">
        <v>1201</v>
      </c>
      <c r="I525" s="83" t="s">
        <v>1202</v>
      </c>
      <c r="J525" s="83" t="s">
        <v>1203</v>
      </c>
      <c r="K525" s="83" t="s">
        <v>565</v>
      </c>
      <c r="L525" s="83" t="s">
        <v>398</v>
      </c>
      <c r="M525" s="83" t="s">
        <v>399</v>
      </c>
      <c r="N525" s="83" t="s">
        <v>2752</v>
      </c>
      <c r="O525" s="83" t="s">
        <v>106</v>
      </c>
      <c r="P525" s="83">
        <v>0</v>
      </c>
      <c r="Q525" s="83" t="s">
        <v>106</v>
      </c>
      <c r="R525" s="83">
        <v>8</v>
      </c>
      <c r="S525" s="87">
        <v>31412</v>
      </c>
      <c r="T525" s="83" t="s">
        <v>2703</v>
      </c>
      <c r="U525" s="83" t="s">
        <v>401</v>
      </c>
      <c r="V525" s="97"/>
      <c r="W525" s="97"/>
      <c r="X525" s="97"/>
      <c r="Y525" s="97"/>
      <c r="Z525" s="97"/>
      <c r="AA525" s="97"/>
      <c r="AB525" s="97"/>
      <c r="AC525" s="83" t="s">
        <v>401</v>
      </c>
      <c r="AD525" s="83">
        <v>0</v>
      </c>
      <c r="AE525" s="83"/>
      <c r="AF525" s="83">
        <v>10000</v>
      </c>
      <c r="AG525" s="83"/>
      <c r="AH525" s="83"/>
      <c r="AI525" s="83"/>
      <c r="AJ525" s="83">
        <v>1</v>
      </c>
      <c r="AK525" s="82">
        <v>0</v>
      </c>
      <c r="AL525" s="83">
        <v>0</v>
      </c>
      <c r="AM525" s="83" t="s">
        <v>2693</v>
      </c>
      <c r="AN525" s="83"/>
      <c r="AO525" s="83"/>
      <c r="AP525" s="83"/>
      <c r="AQ525" s="83"/>
      <c r="AR525" s="83"/>
      <c r="AS525" s="83"/>
      <c r="AT525" s="83"/>
      <c r="AU525" s="83"/>
      <c r="AV525" s="83"/>
      <c r="AW525" s="83"/>
      <c r="AX525" s="83"/>
      <c r="AY525" s="83"/>
      <c r="AZ525" s="83"/>
      <c r="BA525" s="83"/>
      <c r="BB525" s="83"/>
      <c r="BC525" s="83"/>
      <c r="BD525" s="83"/>
      <c r="BE525" s="83"/>
      <c r="BF525" s="83"/>
      <c r="BG525" s="83"/>
      <c r="BH525" s="83"/>
      <c r="BI525" s="83"/>
      <c r="BJ525" s="83"/>
      <c r="BK525" s="83">
        <v>0</v>
      </c>
      <c r="BL525" s="83">
        <v>0</v>
      </c>
      <c r="BM525" s="83">
        <v>0</v>
      </c>
      <c r="BN525" s="83">
        <v>0</v>
      </c>
      <c r="BO525" s="83">
        <v>0</v>
      </c>
      <c r="BP525" s="83">
        <v>0</v>
      </c>
      <c r="BQ525" s="83">
        <v>0</v>
      </c>
      <c r="BR525" s="83">
        <v>0</v>
      </c>
      <c r="BS525" s="83">
        <v>0</v>
      </c>
      <c r="BT525" s="83">
        <v>0</v>
      </c>
      <c r="BU525" s="83">
        <v>1</v>
      </c>
      <c r="BV525" s="83">
        <v>0</v>
      </c>
      <c r="BW525" s="83">
        <v>0</v>
      </c>
      <c r="BX525" s="83">
        <v>0</v>
      </c>
      <c r="BY525" s="83">
        <v>0</v>
      </c>
      <c r="BZ525" s="83">
        <v>0</v>
      </c>
      <c r="CA525" s="83">
        <v>0</v>
      </c>
      <c r="CB525" s="83">
        <v>0</v>
      </c>
      <c r="CC525" s="83">
        <v>0</v>
      </c>
      <c r="CD525" s="83">
        <v>0</v>
      </c>
      <c r="CE525" s="83"/>
      <c r="CF525" s="83" t="s">
        <v>3962</v>
      </c>
      <c r="CG525" s="83" t="s">
        <v>3963</v>
      </c>
      <c r="CH525" s="83"/>
      <c r="CI525" s="83"/>
      <c r="CJ525" s="83"/>
      <c r="CK525" s="144">
        <v>0</v>
      </c>
      <c r="CL525"/>
    </row>
    <row r="526" spans="1:90" s="79" customFormat="1">
      <c r="A526" s="83" t="s">
        <v>3782</v>
      </c>
      <c r="B526" s="83" t="s">
        <v>739</v>
      </c>
      <c r="C526" s="83"/>
      <c r="D526" s="83" t="s">
        <v>688</v>
      </c>
      <c r="E526" s="83" t="s">
        <v>3830</v>
      </c>
      <c r="F526" s="83">
        <v>1012</v>
      </c>
      <c r="G526" s="83" t="s">
        <v>3871</v>
      </c>
      <c r="H526" s="83" t="s">
        <v>1201</v>
      </c>
      <c r="I526" s="83" t="s">
        <v>1202</v>
      </c>
      <c r="J526" s="83" t="s">
        <v>1203</v>
      </c>
      <c r="K526" s="83" t="s">
        <v>565</v>
      </c>
      <c r="L526" s="83" t="s">
        <v>398</v>
      </c>
      <c r="M526" s="83" t="s">
        <v>399</v>
      </c>
      <c r="N526" s="83" t="s">
        <v>2742</v>
      </c>
      <c r="O526" s="83" t="s">
        <v>106</v>
      </c>
      <c r="P526" s="83">
        <v>0</v>
      </c>
      <c r="Q526" s="83" t="s">
        <v>106</v>
      </c>
      <c r="R526" s="83">
        <v>34</v>
      </c>
      <c r="S526" s="87">
        <v>31412</v>
      </c>
      <c r="T526" s="83" t="s">
        <v>2703</v>
      </c>
      <c r="U526" s="83" t="s">
        <v>401</v>
      </c>
      <c r="V526" s="97"/>
      <c r="W526" s="97"/>
      <c r="X526" s="97"/>
      <c r="Y526" s="97"/>
      <c r="Z526" s="97"/>
      <c r="AA526" s="97"/>
      <c r="AB526" s="97"/>
      <c r="AC526" s="83" t="s">
        <v>401</v>
      </c>
      <c r="AD526" s="83">
        <v>0</v>
      </c>
      <c r="AE526" s="83"/>
      <c r="AF526" s="83">
        <v>30000</v>
      </c>
      <c r="AG526" s="83"/>
      <c r="AH526" s="83"/>
      <c r="AI526" s="83"/>
      <c r="AJ526" s="83">
        <v>1</v>
      </c>
      <c r="AK526" s="82">
        <v>0</v>
      </c>
      <c r="AL526" s="83">
        <v>0</v>
      </c>
      <c r="AM526" s="83" t="s">
        <v>2693</v>
      </c>
      <c r="AN526" s="83"/>
      <c r="AO526" s="83"/>
      <c r="AP526" s="83"/>
      <c r="AQ526" s="83"/>
      <c r="AR526" s="83"/>
      <c r="AS526" s="83"/>
      <c r="AT526" s="83"/>
      <c r="AU526" s="83"/>
      <c r="AV526" s="83"/>
      <c r="AW526" s="83"/>
      <c r="AX526" s="83"/>
      <c r="AY526" s="83"/>
      <c r="AZ526" s="83"/>
      <c r="BA526" s="83"/>
      <c r="BB526" s="83"/>
      <c r="BC526" s="83"/>
      <c r="BD526" s="83"/>
      <c r="BE526" s="83"/>
      <c r="BF526" s="83"/>
      <c r="BG526" s="83"/>
      <c r="BH526" s="83"/>
      <c r="BI526" s="83"/>
      <c r="BJ526" s="83"/>
      <c r="BK526" s="83">
        <v>0</v>
      </c>
      <c r="BL526" s="83">
        <v>0</v>
      </c>
      <c r="BM526" s="83">
        <v>0</v>
      </c>
      <c r="BN526" s="83">
        <v>0</v>
      </c>
      <c r="BO526" s="83">
        <v>0</v>
      </c>
      <c r="BP526" s="83">
        <v>0</v>
      </c>
      <c r="BQ526" s="83">
        <v>0</v>
      </c>
      <c r="BR526" s="83">
        <v>0</v>
      </c>
      <c r="BS526" s="83">
        <v>0</v>
      </c>
      <c r="BT526" s="83">
        <v>0</v>
      </c>
      <c r="BU526" s="83">
        <v>1</v>
      </c>
      <c r="BV526" s="83">
        <v>0</v>
      </c>
      <c r="BW526" s="83">
        <v>0</v>
      </c>
      <c r="BX526" s="83">
        <v>0</v>
      </c>
      <c r="BY526" s="83">
        <v>0</v>
      </c>
      <c r="BZ526" s="83">
        <v>0</v>
      </c>
      <c r="CA526" s="83">
        <v>0</v>
      </c>
      <c r="CB526" s="83">
        <v>0</v>
      </c>
      <c r="CC526" s="83">
        <v>0</v>
      </c>
      <c r="CD526" s="83">
        <v>0</v>
      </c>
      <c r="CE526" s="83"/>
      <c r="CF526" s="83" t="s">
        <v>3964</v>
      </c>
      <c r="CG526" s="83" t="s">
        <v>3965</v>
      </c>
      <c r="CH526" s="83"/>
      <c r="CI526" s="83"/>
      <c r="CJ526" s="83"/>
      <c r="CK526" s="144">
        <v>0</v>
      </c>
      <c r="CL526"/>
    </row>
    <row r="527" spans="1:90" s="79" customFormat="1">
      <c r="A527" s="83" t="s">
        <v>1218</v>
      </c>
      <c r="B527" s="83" t="s">
        <v>1245</v>
      </c>
      <c r="C527" s="83"/>
      <c r="D527" s="83" t="s">
        <v>688</v>
      </c>
      <c r="E527" s="83" t="s">
        <v>739</v>
      </c>
      <c r="F527" s="83" t="s">
        <v>1307</v>
      </c>
      <c r="G527" s="83" t="s">
        <v>1308</v>
      </c>
      <c r="H527" s="83" t="s">
        <v>1442</v>
      </c>
      <c r="I527" s="83" t="s">
        <v>1202</v>
      </c>
      <c r="J527" s="83" t="s">
        <v>1203</v>
      </c>
      <c r="K527" s="83" t="s">
        <v>565</v>
      </c>
      <c r="L527" s="83" t="s">
        <v>398</v>
      </c>
      <c r="M527" s="83" t="s">
        <v>399</v>
      </c>
      <c r="N527" s="83" t="s">
        <v>3248</v>
      </c>
      <c r="O527" s="83" t="s">
        <v>106</v>
      </c>
      <c r="P527" s="83">
        <v>0</v>
      </c>
      <c r="Q527" s="83" t="s">
        <v>106</v>
      </c>
      <c r="R527" s="83" t="s">
        <v>3717</v>
      </c>
      <c r="S527" s="83" t="s">
        <v>1446</v>
      </c>
      <c r="T527" s="83" t="s">
        <v>2703</v>
      </c>
      <c r="U527" s="83" t="s">
        <v>401</v>
      </c>
      <c r="V527" s="97"/>
      <c r="W527" s="97"/>
      <c r="X527" s="97"/>
      <c r="Y527" s="97"/>
      <c r="Z527" s="97"/>
      <c r="AA527" s="97"/>
      <c r="AB527" s="97"/>
      <c r="AC527" s="83" t="s">
        <v>401</v>
      </c>
      <c r="AD527" s="83">
        <v>0</v>
      </c>
      <c r="AE527" s="83"/>
      <c r="AF527" s="83">
        <v>100000</v>
      </c>
      <c r="AG527" s="83"/>
      <c r="AH527" s="83"/>
      <c r="AI527" s="83"/>
      <c r="AJ527" s="83">
        <v>1</v>
      </c>
      <c r="AK527" s="83">
        <v>0</v>
      </c>
      <c r="AL527" s="83">
        <v>0</v>
      </c>
      <c r="AM527" s="83" t="s">
        <v>2693</v>
      </c>
      <c r="AN527" s="83"/>
      <c r="AO527" s="83"/>
      <c r="AP527" s="83"/>
      <c r="AQ527" s="83"/>
      <c r="AR527" s="83"/>
      <c r="AS527" s="83"/>
      <c r="AT527" s="83"/>
      <c r="AU527" s="83"/>
      <c r="AV527" s="83"/>
      <c r="AW527" s="83"/>
      <c r="AX527" s="83"/>
      <c r="AY527" s="83"/>
      <c r="AZ527" s="83"/>
      <c r="BA527" s="83"/>
      <c r="BB527" s="83"/>
      <c r="BC527" s="83"/>
      <c r="BD527" s="83"/>
      <c r="BE527" s="83"/>
      <c r="BF527" s="83"/>
      <c r="BG527" s="83"/>
      <c r="BH527" s="83"/>
      <c r="BI527" s="83"/>
      <c r="BJ527" s="83"/>
      <c r="BK527" s="83" t="s">
        <v>2696</v>
      </c>
      <c r="BL527" s="83" t="s">
        <v>2696</v>
      </c>
      <c r="BM527" s="83" t="s">
        <v>2696</v>
      </c>
      <c r="BN527" s="83" t="s">
        <v>2696</v>
      </c>
      <c r="BO527" s="83" t="s">
        <v>2696</v>
      </c>
      <c r="BP527" s="83" t="s">
        <v>2696</v>
      </c>
      <c r="BQ527" s="83" t="s">
        <v>2696</v>
      </c>
      <c r="BR527" s="83" t="s">
        <v>2696</v>
      </c>
      <c r="BS527" s="83" t="s">
        <v>2696</v>
      </c>
      <c r="BT527" s="83" t="s">
        <v>2696</v>
      </c>
      <c r="BU527" s="83">
        <v>1</v>
      </c>
      <c r="BV527" s="83" t="s">
        <v>2696</v>
      </c>
      <c r="BW527" s="83" t="s">
        <v>2696</v>
      </c>
      <c r="BX527" s="83" t="s">
        <v>2696</v>
      </c>
      <c r="BY527" s="83" t="s">
        <v>2696</v>
      </c>
      <c r="BZ527" s="83" t="s">
        <v>2696</v>
      </c>
      <c r="CA527" s="83" t="s">
        <v>2696</v>
      </c>
      <c r="CB527" s="83" t="s">
        <v>2696</v>
      </c>
      <c r="CC527" s="83" t="s">
        <v>2696</v>
      </c>
      <c r="CD527" s="83" t="s">
        <v>2696</v>
      </c>
      <c r="CE527" s="83"/>
      <c r="CF527" s="83" t="s">
        <v>1373</v>
      </c>
      <c r="CG527" s="83" t="s">
        <v>1374</v>
      </c>
      <c r="CH527" s="83"/>
      <c r="CI527" s="83"/>
      <c r="CJ527" s="83"/>
      <c r="CK527" s="144">
        <v>0</v>
      </c>
      <c r="CL527"/>
    </row>
    <row r="528" spans="1:90" s="79" customFormat="1">
      <c r="A528" s="83" t="s">
        <v>3783</v>
      </c>
      <c r="B528" s="83" t="s">
        <v>3812</v>
      </c>
      <c r="C528" s="83"/>
      <c r="D528" s="83" t="s">
        <v>688</v>
      </c>
      <c r="E528" s="83" t="s">
        <v>3692</v>
      </c>
      <c r="F528" s="83">
        <v>1906</v>
      </c>
      <c r="G528" s="83" t="s">
        <v>1298</v>
      </c>
      <c r="H528" s="83" t="s">
        <v>1201</v>
      </c>
      <c r="I528" s="83" t="s">
        <v>1202</v>
      </c>
      <c r="J528" s="83" t="s">
        <v>1203</v>
      </c>
      <c r="K528" s="83" t="s">
        <v>565</v>
      </c>
      <c r="L528" s="83" t="s">
        <v>398</v>
      </c>
      <c r="M528" s="83" t="s">
        <v>399</v>
      </c>
      <c r="N528" s="83" t="s">
        <v>2752</v>
      </c>
      <c r="O528" s="83" t="s">
        <v>106</v>
      </c>
      <c r="P528" s="83">
        <v>0</v>
      </c>
      <c r="Q528" s="83" t="s">
        <v>106</v>
      </c>
      <c r="R528" s="83">
        <v>34</v>
      </c>
      <c r="S528" s="87">
        <v>31412</v>
      </c>
      <c r="T528" s="83" t="s">
        <v>2703</v>
      </c>
      <c r="U528" s="83" t="s">
        <v>401</v>
      </c>
      <c r="V528" s="97"/>
      <c r="W528" s="97"/>
      <c r="X528" s="97"/>
      <c r="Y528" s="97"/>
      <c r="Z528" s="97"/>
      <c r="AA528" s="97"/>
      <c r="AB528" s="97"/>
      <c r="AC528" s="83" t="s">
        <v>401</v>
      </c>
      <c r="AD528" s="83">
        <v>0</v>
      </c>
      <c r="AE528" s="83"/>
      <c r="AF528" s="83">
        <v>100000</v>
      </c>
      <c r="AG528" s="83"/>
      <c r="AH528" s="83"/>
      <c r="AI528" s="83"/>
      <c r="AJ528" s="83">
        <v>1</v>
      </c>
      <c r="AK528" s="82">
        <v>0</v>
      </c>
      <c r="AL528" s="83">
        <v>0</v>
      </c>
      <c r="AM528" s="83" t="s">
        <v>2693</v>
      </c>
      <c r="AN528" s="83"/>
      <c r="AO528" s="83"/>
      <c r="AP528" s="83"/>
      <c r="AQ528" s="83"/>
      <c r="AR528" s="83"/>
      <c r="AS528" s="83"/>
      <c r="AT528" s="83"/>
      <c r="AU528" s="83"/>
      <c r="AV528" s="83"/>
      <c r="AW528" s="83"/>
      <c r="AX528" s="83"/>
      <c r="AY528" s="83"/>
      <c r="AZ528" s="83"/>
      <c r="BA528" s="83"/>
      <c r="BB528" s="83"/>
      <c r="BC528" s="83"/>
      <c r="BD528" s="83"/>
      <c r="BE528" s="83"/>
      <c r="BF528" s="83"/>
      <c r="BG528" s="83"/>
      <c r="BH528" s="83"/>
      <c r="BI528" s="83"/>
      <c r="BJ528" s="83"/>
      <c r="BK528" s="83">
        <v>0</v>
      </c>
      <c r="BL528" s="83">
        <v>0</v>
      </c>
      <c r="BM528" s="83">
        <v>0</v>
      </c>
      <c r="BN528" s="83">
        <v>0</v>
      </c>
      <c r="BO528" s="83">
        <v>0</v>
      </c>
      <c r="BP528" s="83">
        <v>0</v>
      </c>
      <c r="BQ528" s="83">
        <v>0</v>
      </c>
      <c r="BR528" s="83">
        <v>0</v>
      </c>
      <c r="BS528" s="83">
        <v>0</v>
      </c>
      <c r="BT528" s="83">
        <v>0</v>
      </c>
      <c r="BU528" s="83">
        <v>1</v>
      </c>
      <c r="BV528" s="83">
        <v>0</v>
      </c>
      <c r="BW528" s="83">
        <v>0</v>
      </c>
      <c r="BX528" s="83">
        <v>0</v>
      </c>
      <c r="BY528" s="83">
        <v>0</v>
      </c>
      <c r="BZ528" s="83">
        <v>0</v>
      </c>
      <c r="CA528" s="83">
        <v>0</v>
      </c>
      <c r="CB528" s="83">
        <v>0</v>
      </c>
      <c r="CC528" s="83">
        <v>0</v>
      </c>
      <c r="CD528" s="83">
        <v>0</v>
      </c>
      <c r="CE528" s="83"/>
      <c r="CF528" s="83" t="s">
        <v>3966</v>
      </c>
      <c r="CG528" s="83" t="s">
        <v>3967</v>
      </c>
      <c r="CH528" s="83"/>
      <c r="CI528" s="83"/>
      <c r="CJ528" s="83"/>
      <c r="CK528" s="144">
        <v>0</v>
      </c>
      <c r="CL528"/>
    </row>
    <row r="529" spans="1:90" s="79" customFormat="1">
      <c r="A529" s="83" t="s">
        <v>3784</v>
      </c>
      <c r="B529" s="83" t="s">
        <v>739</v>
      </c>
      <c r="C529" s="83"/>
      <c r="D529" s="83" t="s">
        <v>688</v>
      </c>
      <c r="E529" s="83" t="s">
        <v>3842</v>
      </c>
      <c r="F529" s="83">
        <v>3476</v>
      </c>
      <c r="G529" s="83" t="s">
        <v>3842</v>
      </c>
      <c r="H529" s="83" t="s">
        <v>1201</v>
      </c>
      <c r="I529" s="83" t="s">
        <v>1202</v>
      </c>
      <c r="J529" s="83" t="s">
        <v>1203</v>
      </c>
      <c r="K529" s="83" t="s">
        <v>565</v>
      </c>
      <c r="L529" s="83" t="s">
        <v>398</v>
      </c>
      <c r="M529" s="83" t="s">
        <v>399</v>
      </c>
      <c r="N529" s="83" t="s">
        <v>3152</v>
      </c>
      <c r="O529" s="83" t="s">
        <v>106</v>
      </c>
      <c r="P529" s="83">
        <v>0</v>
      </c>
      <c r="Q529" s="83" t="s">
        <v>106</v>
      </c>
      <c r="R529" s="83">
        <v>34</v>
      </c>
      <c r="S529" s="87">
        <v>31412</v>
      </c>
      <c r="T529" s="83" t="s">
        <v>2703</v>
      </c>
      <c r="U529" s="83" t="s">
        <v>401</v>
      </c>
      <c r="V529" s="97"/>
      <c r="W529" s="97"/>
      <c r="X529" s="97"/>
      <c r="Y529" s="97"/>
      <c r="Z529" s="97"/>
      <c r="AA529" s="97"/>
      <c r="AB529" s="97"/>
      <c r="AC529" s="83" t="s">
        <v>401</v>
      </c>
      <c r="AD529" s="83">
        <v>0</v>
      </c>
      <c r="AE529" s="83"/>
      <c r="AF529" s="83">
        <v>100000</v>
      </c>
      <c r="AG529" s="83"/>
      <c r="AH529" s="83"/>
      <c r="AI529" s="83"/>
      <c r="AJ529" s="83">
        <v>1</v>
      </c>
      <c r="AK529" s="82">
        <v>0</v>
      </c>
      <c r="AL529" s="83">
        <v>0</v>
      </c>
      <c r="AM529" s="83" t="s">
        <v>2693</v>
      </c>
      <c r="AN529" s="83"/>
      <c r="AO529" s="83"/>
      <c r="AP529" s="83"/>
      <c r="AQ529" s="83"/>
      <c r="AR529" s="83"/>
      <c r="AS529" s="83"/>
      <c r="AT529" s="83"/>
      <c r="AU529" s="83"/>
      <c r="AV529" s="83"/>
      <c r="AW529" s="83"/>
      <c r="AX529" s="83"/>
      <c r="AY529" s="83"/>
      <c r="AZ529" s="83"/>
      <c r="BA529" s="83"/>
      <c r="BB529" s="83"/>
      <c r="BC529" s="83"/>
      <c r="BD529" s="83"/>
      <c r="BE529" s="83"/>
      <c r="BF529" s="83"/>
      <c r="BG529" s="83"/>
      <c r="BH529" s="83"/>
      <c r="BI529" s="83"/>
      <c r="BJ529" s="83"/>
      <c r="BK529" s="83">
        <v>0</v>
      </c>
      <c r="BL529" s="83">
        <v>0</v>
      </c>
      <c r="BM529" s="83">
        <v>0</v>
      </c>
      <c r="BN529" s="83">
        <v>0</v>
      </c>
      <c r="BO529" s="83">
        <v>0</v>
      </c>
      <c r="BP529" s="83">
        <v>0</v>
      </c>
      <c r="BQ529" s="83">
        <v>0</v>
      </c>
      <c r="BR529" s="83">
        <v>0</v>
      </c>
      <c r="BS529" s="83">
        <v>0</v>
      </c>
      <c r="BT529" s="83">
        <v>0</v>
      </c>
      <c r="BU529" s="83">
        <v>1</v>
      </c>
      <c r="BV529" s="83">
        <v>0</v>
      </c>
      <c r="BW529" s="83">
        <v>0</v>
      </c>
      <c r="BX529" s="83">
        <v>0</v>
      </c>
      <c r="BY529" s="83">
        <v>0</v>
      </c>
      <c r="BZ529" s="83">
        <v>0</v>
      </c>
      <c r="CA529" s="83">
        <v>0</v>
      </c>
      <c r="CB529" s="83">
        <v>9</v>
      </c>
      <c r="CC529" s="83">
        <v>0</v>
      </c>
      <c r="CD529" s="83">
        <v>0</v>
      </c>
      <c r="CE529" s="83"/>
      <c r="CF529" s="83" t="s">
        <v>3968</v>
      </c>
      <c r="CG529" s="83" t="s">
        <v>3969</v>
      </c>
      <c r="CH529" s="83"/>
      <c r="CI529" s="83"/>
      <c r="CJ529" s="83"/>
      <c r="CK529" s="144">
        <v>0</v>
      </c>
      <c r="CL529"/>
    </row>
    <row r="530" spans="1:90" s="79" customFormat="1">
      <c r="A530" s="83" t="s">
        <v>3284</v>
      </c>
      <c r="B530" s="83" t="s">
        <v>994</v>
      </c>
      <c r="C530" s="83"/>
      <c r="D530" s="83" t="s">
        <v>688</v>
      </c>
      <c r="E530" s="83" t="s">
        <v>994</v>
      </c>
      <c r="F530" s="83" t="s">
        <v>3285</v>
      </c>
      <c r="G530" s="83" t="s">
        <v>2326</v>
      </c>
      <c r="H530" s="83" t="s">
        <v>1201</v>
      </c>
      <c r="I530" s="83" t="s">
        <v>1202</v>
      </c>
      <c r="J530" s="83" t="s">
        <v>1203</v>
      </c>
      <c r="K530" s="83" t="s">
        <v>565</v>
      </c>
      <c r="L530" s="83" t="s">
        <v>398</v>
      </c>
      <c r="M530" s="83" t="s">
        <v>399</v>
      </c>
      <c r="N530" s="83" t="s">
        <v>3277</v>
      </c>
      <c r="O530" s="83" t="s">
        <v>106</v>
      </c>
      <c r="P530" s="83">
        <v>4</v>
      </c>
      <c r="Q530" s="83" t="s">
        <v>106</v>
      </c>
      <c r="R530" s="83" t="s">
        <v>2753</v>
      </c>
      <c r="S530" s="83" t="s">
        <v>1451</v>
      </c>
      <c r="T530" s="83" t="s">
        <v>2706</v>
      </c>
      <c r="U530" s="83" t="s">
        <v>401</v>
      </c>
      <c r="V530" s="97"/>
      <c r="W530" s="97"/>
      <c r="X530" s="97"/>
      <c r="Y530" s="97"/>
      <c r="Z530" s="97"/>
      <c r="AA530" s="97"/>
      <c r="AB530" s="97"/>
      <c r="AC530" s="83" t="s">
        <v>401</v>
      </c>
      <c r="AD530" s="83">
        <v>363000</v>
      </c>
      <c r="AE530" s="83"/>
      <c r="AF530" s="83">
        <v>102000</v>
      </c>
      <c r="AG530" s="83"/>
      <c r="AH530" s="83"/>
      <c r="AI530" s="83"/>
      <c r="AJ530" s="83">
        <v>1</v>
      </c>
      <c r="AK530" s="83">
        <v>1</v>
      </c>
      <c r="AL530" s="83">
        <v>3383</v>
      </c>
      <c r="AM530" s="83" t="s">
        <v>2693</v>
      </c>
      <c r="AN530" s="83"/>
      <c r="AO530" s="83"/>
      <c r="AP530" s="83"/>
      <c r="AQ530" s="83"/>
      <c r="AR530" s="83"/>
      <c r="AS530" s="83"/>
      <c r="AT530" s="83"/>
      <c r="AU530" s="83"/>
      <c r="AV530" s="83"/>
      <c r="AW530" s="83"/>
      <c r="AX530" s="83"/>
      <c r="AY530" s="83"/>
      <c r="AZ530" s="83"/>
      <c r="BA530" s="83"/>
      <c r="BB530" s="83"/>
      <c r="BC530" s="83"/>
      <c r="BD530" s="83"/>
      <c r="BE530" s="83"/>
      <c r="BF530" s="83"/>
      <c r="BG530" s="83"/>
      <c r="BH530" s="83"/>
      <c r="BI530" s="83"/>
      <c r="BJ530" s="83"/>
      <c r="BK530" s="83" t="s">
        <v>2694</v>
      </c>
      <c r="BL530" s="83" t="s">
        <v>2697</v>
      </c>
      <c r="BM530" s="83" t="s">
        <v>2693</v>
      </c>
      <c r="BN530" s="83" t="s">
        <v>2698</v>
      </c>
      <c r="BO530" s="83" t="s">
        <v>2697</v>
      </c>
      <c r="BP530" s="83" t="s">
        <v>2698</v>
      </c>
      <c r="BQ530" s="83" t="s">
        <v>2699</v>
      </c>
      <c r="BR530" s="83" t="s">
        <v>2693</v>
      </c>
      <c r="BS530" s="83" t="s">
        <v>2699</v>
      </c>
      <c r="BT530" s="83" t="s">
        <v>2696</v>
      </c>
      <c r="BU530" s="83" t="s">
        <v>2699</v>
      </c>
      <c r="BV530" s="83" t="s">
        <v>2696</v>
      </c>
      <c r="BW530" s="83" t="s">
        <v>2698</v>
      </c>
      <c r="BX530" s="83" t="s">
        <v>2696</v>
      </c>
      <c r="BY530" s="83" t="s">
        <v>2699</v>
      </c>
      <c r="BZ530" s="83" t="s">
        <v>2693</v>
      </c>
      <c r="CA530" s="83" t="s">
        <v>2693</v>
      </c>
      <c r="CB530" s="83" t="s">
        <v>2694</v>
      </c>
      <c r="CC530" s="83" t="s">
        <v>2699</v>
      </c>
      <c r="CD530" s="83" t="s">
        <v>2696</v>
      </c>
      <c r="CE530" s="83"/>
      <c r="CF530" s="83" t="s">
        <v>3286</v>
      </c>
      <c r="CG530" s="83" t="s">
        <v>3287</v>
      </c>
      <c r="CH530" s="83" t="s">
        <v>2693</v>
      </c>
      <c r="CI530" s="83" t="s">
        <v>3992</v>
      </c>
      <c r="CJ530" s="83" t="s">
        <v>2701</v>
      </c>
      <c r="CK530" s="144"/>
      <c r="CL530" s="99">
        <v>14000</v>
      </c>
    </row>
    <row r="531" spans="1:90" s="79" customFormat="1">
      <c r="A531" s="79" t="s">
        <v>3559</v>
      </c>
      <c r="B531" s="79" t="s">
        <v>4024</v>
      </c>
      <c r="D531" s="79" t="s">
        <v>688</v>
      </c>
      <c r="E531" s="79" t="s">
        <v>1012</v>
      </c>
      <c r="F531" s="79" t="s">
        <v>3560</v>
      </c>
      <c r="G531" s="79" t="s">
        <v>2439</v>
      </c>
      <c r="H531" s="79" t="s">
        <v>1201</v>
      </c>
      <c r="I531" s="79" t="s">
        <v>1202</v>
      </c>
      <c r="J531" s="79" t="s">
        <v>1203</v>
      </c>
      <c r="K531" s="79" t="s">
        <v>565</v>
      </c>
      <c r="L531" s="79" t="s">
        <v>398</v>
      </c>
      <c r="M531" s="79" t="s">
        <v>399</v>
      </c>
      <c r="N531" s="79" t="s">
        <v>1909</v>
      </c>
      <c r="O531" s="79" t="s">
        <v>106</v>
      </c>
      <c r="P531" s="79">
        <v>1</v>
      </c>
      <c r="Q531" s="79" t="s">
        <v>106</v>
      </c>
      <c r="R531" s="79" t="s">
        <v>2727</v>
      </c>
      <c r="S531" s="79" t="s">
        <v>3149</v>
      </c>
      <c r="T531" s="79" t="s">
        <v>2703</v>
      </c>
      <c r="U531" s="79" t="s">
        <v>401</v>
      </c>
      <c r="V531" s="97"/>
      <c r="W531" s="97"/>
      <c r="X531" s="97"/>
      <c r="Y531" s="97"/>
      <c r="Z531" s="97"/>
      <c r="AA531" s="97"/>
      <c r="AB531" s="97"/>
      <c r="AC531" s="79" t="s">
        <v>401</v>
      </c>
      <c r="AD531" s="79">
        <v>192000</v>
      </c>
      <c r="AF531" s="79">
        <v>0</v>
      </c>
      <c r="AJ531" s="79">
        <v>1</v>
      </c>
      <c r="AK531" s="79">
        <v>1</v>
      </c>
      <c r="AL531" s="79">
        <v>1600</v>
      </c>
      <c r="AM531" s="79" t="s">
        <v>2699</v>
      </c>
      <c r="BK531" s="79" t="s">
        <v>2694</v>
      </c>
      <c r="BL531" s="79" t="s">
        <v>2704</v>
      </c>
      <c r="BM531" s="79" t="s">
        <v>2698</v>
      </c>
      <c r="BN531" s="79" t="s">
        <v>2696</v>
      </c>
      <c r="BO531" s="79" t="s">
        <v>2697</v>
      </c>
      <c r="BP531" s="79" t="s">
        <v>2698</v>
      </c>
      <c r="BQ531" s="79" t="s">
        <v>2699</v>
      </c>
      <c r="BR531" s="79" t="s">
        <v>2693</v>
      </c>
      <c r="BS531" s="79" t="s">
        <v>2699</v>
      </c>
      <c r="BT531" s="79" t="s">
        <v>2696</v>
      </c>
      <c r="BU531" s="79">
        <v>1</v>
      </c>
      <c r="BV531" s="79" t="s">
        <v>2696</v>
      </c>
      <c r="BW531" s="79" t="s">
        <v>2693</v>
      </c>
      <c r="BX531" s="79" t="s">
        <v>2696</v>
      </c>
      <c r="BY531" s="79" t="s">
        <v>2699</v>
      </c>
      <c r="BZ531" s="79" t="s">
        <v>2693</v>
      </c>
      <c r="CA531" s="79" t="s">
        <v>2699</v>
      </c>
      <c r="CB531" s="79">
        <v>1</v>
      </c>
      <c r="CC531" s="79" t="s">
        <v>2699</v>
      </c>
      <c r="CD531" s="79" t="s">
        <v>2696</v>
      </c>
      <c r="CF531" s="81" t="s">
        <v>4045</v>
      </c>
      <c r="CG531" s="81" t="s">
        <v>4046</v>
      </c>
      <c r="CH531" s="79" t="s">
        <v>2699</v>
      </c>
      <c r="CI531" s="79" t="s">
        <v>2699</v>
      </c>
      <c r="CJ531" s="79" t="s">
        <v>2734</v>
      </c>
      <c r="CK531" s="145">
        <v>0</v>
      </c>
      <c r="CL531"/>
    </row>
    <row r="532" spans="1:90" s="79" customFormat="1">
      <c r="A532" s="79" t="s">
        <v>3671</v>
      </c>
      <c r="B532" s="79" t="s">
        <v>4017</v>
      </c>
      <c r="D532" s="79" t="s">
        <v>688</v>
      </c>
      <c r="E532" s="79" t="s">
        <v>4025</v>
      </c>
      <c r="F532" s="79" t="s">
        <v>3672</v>
      </c>
      <c r="G532" s="79" t="s">
        <v>2440</v>
      </c>
      <c r="H532" s="79" t="s">
        <v>1201</v>
      </c>
      <c r="I532" s="79" t="s">
        <v>1202</v>
      </c>
      <c r="J532" s="79" t="s">
        <v>1203</v>
      </c>
      <c r="K532" s="79" t="s">
        <v>565</v>
      </c>
      <c r="L532" s="79" t="s">
        <v>398</v>
      </c>
      <c r="M532" s="79" t="s">
        <v>399</v>
      </c>
      <c r="N532" s="79" t="s">
        <v>1909</v>
      </c>
      <c r="O532" s="79" t="s">
        <v>106</v>
      </c>
      <c r="P532" s="79">
        <v>4</v>
      </c>
      <c r="Q532" s="79" t="s">
        <v>106</v>
      </c>
      <c r="R532" s="79" t="s">
        <v>2727</v>
      </c>
      <c r="S532" s="79" t="s">
        <v>2764</v>
      </c>
      <c r="T532" s="79" t="s">
        <v>2703</v>
      </c>
      <c r="U532" s="79" t="s">
        <v>401</v>
      </c>
      <c r="V532" s="97"/>
      <c r="W532" s="97"/>
      <c r="X532" s="97"/>
      <c r="Y532" s="97"/>
      <c r="Z532" s="97"/>
      <c r="AA532" s="97"/>
      <c r="AB532" s="97"/>
      <c r="AC532" s="79" t="s">
        <v>401</v>
      </c>
      <c r="AD532" s="79">
        <v>75000</v>
      </c>
      <c r="AF532" s="79">
        <v>0</v>
      </c>
      <c r="AJ532" s="79">
        <v>1</v>
      </c>
      <c r="AK532" s="79">
        <v>1</v>
      </c>
      <c r="AL532" s="79">
        <v>880</v>
      </c>
      <c r="AM532" s="79" t="s">
        <v>2693</v>
      </c>
      <c r="BK532" s="79" t="s">
        <v>2694</v>
      </c>
      <c r="BL532" s="79" t="s">
        <v>2704</v>
      </c>
      <c r="BM532" s="79" t="s">
        <v>2698</v>
      </c>
      <c r="BN532" s="79" t="s">
        <v>2696</v>
      </c>
      <c r="BO532" s="79" t="s">
        <v>2697</v>
      </c>
      <c r="BP532" s="79" t="s">
        <v>2698</v>
      </c>
      <c r="BQ532" s="79" t="s">
        <v>2699</v>
      </c>
      <c r="BR532" s="79" t="s">
        <v>2693</v>
      </c>
      <c r="BS532" s="79">
        <v>1</v>
      </c>
      <c r="BT532" s="79" t="s">
        <v>2696</v>
      </c>
      <c r="BU532" s="79">
        <v>1</v>
      </c>
      <c r="BV532" s="79" t="s">
        <v>2696</v>
      </c>
      <c r="BW532" s="79" t="s">
        <v>2698</v>
      </c>
      <c r="BX532" s="79" t="s">
        <v>2696</v>
      </c>
      <c r="BY532" s="79" t="s">
        <v>2699</v>
      </c>
      <c r="BZ532" s="79" t="s">
        <v>2699</v>
      </c>
      <c r="CA532" s="79" t="s">
        <v>2699</v>
      </c>
      <c r="CB532" s="79">
        <v>9</v>
      </c>
      <c r="CC532" s="79" t="s">
        <v>2693</v>
      </c>
      <c r="CD532" s="79" t="s">
        <v>2696</v>
      </c>
      <c r="CF532" s="81" t="s">
        <v>4022</v>
      </c>
      <c r="CG532" s="81" t="s">
        <v>4021</v>
      </c>
      <c r="CH532" s="79" t="s">
        <v>2693</v>
      </c>
      <c r="CI532" s="79" t="s">
        <v>2076</v>
      </c>
      <c r="CJ532" s="79" t="s">
        <v>2701</v>
      </c>
      <c r="CK532" s="145">
        <v>0</v>
      </c>
      <c r="CL532"/>
    </row>
    <row r="533" spans="1:90" s="79" customFormat="1">
      <c r="A533" s="83" t="s">
        <v>1473</v>
      </c>
      <c r="B533" s="83" t="s">
        <v>2754</v>
      </c>
      <c r="C533" s="83"/>
      <c r="D533" s="83" t="s">
        <v>688</v>
      </c>
      <c r="E533" s="83" t="s">
        <v>2755</v>
      </c>
      <c r="F533" s="83" t="s">
        <v>1784</v>
      </c>
      <c r="G533" s="83" t="s">
        <v>1895</v>
      </c>
      <c r="H533" s="83" t="s">
        <v>1201</v>
      </c>
      <c r="I533" s="83" t="s">
        <v>1202</v>
      </c>
      <c r="J533" s="83" t="s">
        <v>1203</v>
      </c>
      <c r="K533" s="83" t="s">
        <v>565</v>
      </c>
      <c r="L533" s="83" t="s">
        <v>398</v>
      </c>
      <c r="M533" s="83" t="s">
        <v>399</v>
      </c>
      <c r="N533" s="83" t="s">
        <v>1909</v>
      </c>
      <c r="O533" s="83" t="s">
        <v>106</v>
      </c>
      <c r="P533" s="83">
        <v>8</v>
      </c>
      <c r="Q533" s="83" t="s">
        <v>106</v>
      </c>
      <c r="R533" s="83" t="s">
        <v>2730</v>
      </c>
      <c r="S533" s="83" t="s">
        <v>2724</v>
      </c>
      <c r="T533" s="83" t="s">
        <v>2703</v>
      </c>
      <c r="U533" s="83" t="s">
        <v>401</v>
      </c>
      <c r="V533" s="97"/>
      <c r="W533" s="97"/>
      <c r="X533" s="97"/>
      <c r="Y533" s="97"/>
      <c r="Z533" s="97"/>
      <c r="AA533" s="97"/>
      <c r="AB533" s="97"/>
      <c r="AC533" s="83" t="s">
        <v>401</v>
      </c>
      <c r="AD533" s="83">
        <v>6009000</v>
      </c>
      <c r="AE533" s="83"/>
      <c r="AF533" s="83">
        <v>0</v>
      </c>
      <c r="AG533" s="83"/>
      <c r="AH533" s="83"/>
      <c r="AI533" s="83"/>
      <c r="AJ533" s="83">
        <v>1</v>
      </c>
      <c r="AK533" s="83">
        <v>1</v>
      </c>
      <c r="AL533" s="83">
        <v>54310</v>
      </c>
      <c r="AM533" s="83" t="s">
        <v>2693</v>
      </c>
      <c r="AN533" s="83"/>
      <c r="AO533" s="83"/>
      <c r="AP533" s="83"/>
      <c r="AQ533" s="83"/>
      <c r="AR533" s="83"/>
      <c r="AS533" s="83"/>
      <c r="AT533" s="83"/>
      <c r="AU533" s="83"/>
      <c r="AV533" s="83"/>
      <c r="AW533" s="83"/>
      <c r="AX533" s="83"/>
      <c r="AY533" s="83"/>
      <c r="AZ533" s="83"/>
      <c r="BA533" s="83"/>
      <c r="BB533" s="83"/>
      <c r="BC533" s="83"/>
      <c r="BD533" s="83"/>
      <c r="BE533" s="83"/>
      <c r="BF533" s="83"/>
      <c r="BG533" s="83"/>
      <c r="BH533" s="83"/>
      <c r="BI533" s="83"/>
      <c r="BJ533" s="83"/>
      <c r="BK533" s="83" t="s">
        <v>2694</v>
      </c>
      <c r="BL533" s="83" t="s">
        <v>2697</v>
      </c>
      <c r="BM533" s="83" t="s">
        <v>2699</v>
      </c>
      <c r="BN533" s="83" t="s">
        <v>2698</v>
      </c>
      <c r="BO533" s="83" t="s">
        <v>2697</v>
      </c>
      <c r="BP533" s="83" t="s">
        <v>2697</v>
      </c>
      <c r="BQ533" s="83" t="s">
        <v>2696</v>
      </c>
      <c r="BR533" s="83" t="s">
        <v>2699</v>
      </c>
      <c r="BS533" s="83" t="s">
        <v>2699</v>
      </c>
      <c r="BT533" s="83">
        <v>0</v>
      </c>
      <c r="BU533" s="83" t="s">
        <v>2699</v>
      </c>
      <c r="BV533" s="83" t="s">
        <v>2696</v>
      </c>
      <c r="BW533" s="83" t="s">
        <v>2698</v>
      </c>
      <c r="BX533" s="83" t="s">
        <v>2696</v>
      </c>
      <c r="BY533" s="83" t="s">
        <v>2699</v>
      </c>
      <c r="BZ533" s="83" t="s">
        <v>2699</v>
      </c>
      <c r="CA533" s="83" t="s">
        <v>2693</v>
      </c>
      <c r="CB533" s="83">
        <v>9</v>
      </c>
      <c r="CC533" s="83" t="s">
        <v>2699</v>
      </c>
      <c r="CD533" s="83" t="s">
        <v>2699</v>
      </c>
      <c r="CE533" s="83"/>
      <c r="CF533" s="83" t="s">
        <v>2169</v>
      </c>
      <c r="CG533" s="83" t="s">
        <v>2170</v>
      </c>
      <c r="CH533" s="83" t="s">
        <v>2695</v>
      </c>
      <c r="CI533" s="83" t="s">
        <v>648</v>
      </c>
      <c r="CJ533" s="83" t="s">
        <v>2731</v>
      </c>
      <c r="CK533" s="144">
        <v>0</v>
      </c>
      <c r="CL533"/>
    </row>
    <row r="534" spans="1:90" s="79" customFormat="1">
      <c r="A534" s="83" t="s">
        <v>1588</v>
      </c>
      <c r="B534" s="83" t="s">
        <v>2756</v>
      </c>
      <c r="C534" s="83"/>
      <c r="D534" s="83" t="s">
        <v>688</v>
      </c>
      <c r="E534" s="83" t="s">
        <v>1659</v>
      </c>
      <c r="F534" s="83" t="s">
        <v>1785</v>
      </c>
      <c r="G534" s="83" t="s">
        <v>1828</v>
      </c>
      <c r="H534" s="83" t="s">
        <v>1201</v>
      </c>
      <c r="I534" s="83" t="s">
        <v>1202</v>
      </c>
      <c r="J534" s="83" t="s">
        <v>1203</v>
      </c>
      <c r="K534" s="83" t="s">
        <v>565</v>
      </c>
      <c r="L534" s="83" t="s">
        <v>398</v>
      </c>
      <c r="M534" s="83" t="s">
        <v>399</v>
      </c>
      <c r="N534" s="83" t="s">
        <v>1909</v>
      </c>
      <c r="O534" s="83" t="s">
        <v>106</v>
      </c>
      <c r="P534" s="83">
        <v>9</v>
      </c>
      <c r="Q534" s="83" t="s">
        <v>106</v>
      </c>
      <c r="R534" s="83" t="s">
        <v>2727</v>
      </c>
      <c r="S534" s="83" t="s">
        <v>2720</v>
      </c>
      <c r="T534" s="83" t="s">
        <v>2703</v>
      </c>
      <c r="U534" s="83" t="s">
        <v>401</v>
      </c>
      <c r="V534" s="97"/>
      <c r="W534" s="97"/>
      <c r="X534" s="97"/>
      <c r="Y534" s="97"/>
      <c r="Z534" s="97"/>
      <c r="AA534" s="97"/>
      <c r="AB534" s="97"/>
      <c r="AC534" s="83" t="s">
        <v>401</v>
      </c>
      <c r="AD534" s="83">
        <v>770000</v>
      </c>
      <c r="AE534" s="83"/>
      <c r="AF534" s="83">
        <v>0</v>
      </c>
      <c r="AG534" s="83"/>
      <c r="AH534" s="83"/>
      <c r="AI534" s="83"/>
      <c r="AJ534" s="83">
        <v>1</v>
      </c>
      <c r="AK534" s="83">
        <v>1</v>
      </c>
      <c r="AL534" s="83">
        <v>11350</v>
      </c>
      <c r="AM534" s="83" t="s">
        <v>2693</v>
      </c>
      <c r="AN534" s="83"/>
      <c r="AO534" s="83"/>
      <c r="AP534" s="83"/>
      <c r="AQ534" s="83"/>
      <c r="AR534" s="83"/>
      <c r="AS534" s="83"/>
      <c r="AT534" s="83"/>
      <c r="AU534" s="83"/>
      <c r="AV534" s="83"/>
      <c r="AW534" s="83"/>
      <c r="AX534" s="83"/>
      <c r="AY534" s="83"/>
      <c r="AZ534" s="83"/>
      <c r="BA534" s="83"/>
      <c r="BB534" s="83"/>
      <c r="BC534" s="83"/>
      <c r="BD534" s="83"/>
      <c r="BE534" s="83"/>
      <c r="BF534" s="83"/>
      <c r="BG534" s="83"/>
      <c r="BH534" s="83"/>
      <c r="BI534" s="83"/>
      <c r="BJ534" s="83"/>
      <c r="BK534" s="83" t="s">
        <v>2694</v>
      </c>
      <c r="BL534" s="83" t="s">
        <v>2699</v>
      </c>
      <c r="BM534" s="83" t="s">
        <v>2698</v>
      </c>
      <c r="BN534" s="83" t="s">
        <v>2693</v>
      </c>
      <c r="BO534" s="83" t="s">
        <v>2697</v>
      </c>
      <c r="BP534" s="83" t="s">
        <v>2695</v>
      </c>
      <c r="BQ534" s="83" t="s">
        <v>2693</v>
      </c>
      <c r="BR534" s="83" t="s">
        <v>2693</v>
      </c>
      <c r="BS534" s="83" t="s">
        <v>2699</v>
      </c>
      <c r="BT534" s="83">
        <v>0</v>
      </c>
      <c r="BU534" s="83" t="s">
        <v>2699</v>
      </c>
      <c r="BV534" s="83" t="s">
        <v>2696</v>
      </c>
      <c r="BW534" s="83" t="s">
        <v>2693</v>
      </c>
      <c r="BX534" s="83" t="s">
        <v>2699</v>
      </c>
      <c r="BY534" s="83" t="s">
        <v>2699</v>
      </c>
      <c r="BZ534" s="83" t="s">
        <v>2693</v>
      </c>
      <c r="CA534" s="83" t="s">
        <v>2693</v>
      </c>
      <c r="CB534" s="83">
        <v>9</v>
      </c>
      <c r="CC534" s="83" t="s">
        <v>2699</v>
      </c>
      <c r="CD534" s="83" t="s">
        <v>2696</v>
      </c>
      <c r="CE534" s="83"/>
      <c r="CF534" s="83" t="s">
        <v>2173</v>
      </c>
      <c r="CG534" s="83" t="s">
        <v>2174</v>
      </c>
      <c r="CH534" s="83" t="s">
        <v>2697</v>
      </c>
      <c r="CI534" s="83" t="s">
        <v>648</v>
      </c>
      <c r="CJ534" s="83" t="s">
        <v>2757</v>
      </c>
      <c r="CK534" s="144">
        <v>0</v>
      </c>
      <c r="CL534"/>
    </row>
    <row r="535" spans="1:90" s="79" customFormat="1">
      <c r="A535" s="79" t="s">
        <v>3561</v>
      </c>
      <c r="B535" s="79" t="s">
        <v>4028</v>
      </c>
      <c r="D535" s="79" t="s">
        <v>688</v>
      </c>
      <c r="E535" s="79" t="s">
        <v>4033</v>
      </c>
      <c r="F535" s="79" t="s">
        <v>1725</v>
      </c>
      <c r="G535" s="79" t="s">
        <v>2440</v>
      </c>
      <c r="H535" s="79" t="s">
        <v>1201</v>
      </c>
      <c r="I535" s="79" t="s">
        <v>1202</v>
      </c>
      <c r="J535" s="79" t="s">
        <v>1203</v>
      </c>
      <c r="K535" s="79" t="s">
        <v>565</v>
      </c>
      <c r="L535" s="79" t="s">
        <v>398</v>
      </c>
      <c r="M535" s="79" t="s">
        <v>399</v>
      </c>
      <c r="N535" s="79" t="s">
        <v>1909</v>
      </c>
      <c r="O535" s="79" t="s">
        <v>106</v>
      </c>
      <c r="P535" s="79">
        <v>1</v>
      </c>
      <c r="Q535" s="79" t="s">
        <v>106</v>
      </c>
      <c r="R535" s="79" t="s">
        <v>2727</v>
      </c>
      <c r="S535" s="79" t="s">
        <v>2840</v>
      </c>
      <c r="T535" s="79" t="s">
        <v>2703</v>
      </c>
      <c r="U535" s="79" t="s">
        <v>401</v>
      </c>
      <c r="V535" s="97"/>
      <c r="W535" s="97"/>
      <c r="X535" s="97"/>
      <c r="Y535" s="97"/>
      <c r="Z535" s="97"/>
      <c r="AA535" s="97"/>
      <c r="AB535" s="97"/>
      <c r="AC535" s="79" t="s">
        <v>401</v>
      </c>
      <c r="AD535" s="79">
        <v>127000</v>
      </c>
      <c r="AF535" s="79">
        <v>0</v>
      </c>
      <c r="AJ535" s="79">
        <v>1</v>
      </c>
      <c r="AK535" s="79">
        <v>1</v>
      </c>
      <c r="AL535" s="79">
        <v>1432</v>
      </c>
      <c r="AM535" s="79" t="s">
        <v>2693</v>
      </c>
      <c r="BK535" s="79" t="s">
        <v>2694</v>
      </c>
      <c r="BL535" s="79" t="s">
        <v>2704</v>
      </c>
      <c r="BM535" s="79" t="s">
        <v>2698</v>
      </c>
      <c r="BN535" s="79" t="s">
        <v>2696</v>
      </c>
      <c r="BO535" s="79" t="s">
        <v>2697</v>
      </c>
      <c r="BP535" s="79" t="s">
        <v>2698</v>
      </c>
      <c r="BQ535" s="79" t="s">
        <v>2699</v>
      </c>
      <c r="BR535" s="79" t="s">
        <v>2693</v>
      </c>
      <c r="BS535" s="79" t="s">
        <v>2699</v>
      </c>
      <c r="BT535" s="79" t="s">
        <v>2696</v>
      </c>
      <c r="BU535" s="79">
        <v>1</v>
      </c>
      <c r="BV535" s="79" t="s">
        <v>2696</v>
      </c>
      <c r="BW535" s="79" t="s">
        <v>2699</v>
      </c>
      <c r="BX535" s="79" t="s">
        <v>2696</v>
      </c>
      <c r="BY535" s="79" t="s">
        <v>2699</v>
      </c>
      <c r="BZ535" s="79" t="s">
        <v>2699</v>
      </c>
      <c r="CA535" s="79" t="s">
        <v>2699</v>
      </c>
      <c r="CB535" s="79" t="s">
        <v>2699</v>
      </c>
      <c r="CC535" s="79" t="s">
        <v>2699</v>
      </c>
      <c r="CD535" s="79" t="s">
        <v>2696</v>
      </c>
      <c r="CF535" s="81" t="s">
        <v>4044</v>
      </c>
      <c r="CG535" s="81" t="s">
        <v>4021</v>
      </c>
      <c r="CH535" s="79" t="s">
        <v>2699</v>
      </c>
      <c r="CI535" s="79" t="s">
        <v>2699</v>
      </c>
      <c r="CJ535" s="79" t="s">
        <v>2734</v>
      </c>
      <c r="CK535" s="145">
        <v>0</v>
      </c>
      <c r="CL535"/>
    </row>
    <row r="536" spans="1:90" s="79" customFormat="1">
      <c r="A536" s="79" t="s">
        <v>3669</v>
      </c>
      <c r="B536" s="79" t="s">
        <v>4027</v>
      </c>
      <c r="D536" s="79" t="s">
        <v>688</v>
      </c>
      <c r="E536" s="79" t="s">
        <v>4023</v>
      </c>
      <c r="F536" s="79" t="s">
        <v>3670</v>
      </c>
      <c r="G536" s="79" t="s">
        <v>2440</v>
      </c>
      <c r="H536" s="79" t="s">
        <v>1201</v>
      </c>
      <c r="I536" s="79" t="s">
        <v>1202</v>
      </c>
      <c r="J536" s="79" t="s">
        <v>1203</v>
      </c>
      <c r="K536" s="79" t="s">
        <v>565</v>
      </c>
      <c r="L536" s="79" t="s">
        <v>398</v>
      </c>
      <c r="M536" s="79" t="s">
        <v>399</v>
      </c>
      <c r="N536" s="79" t="s">
        <v>1909</v>
      </c>
      <c r="O536" s="79" t="s">
        <v>106</v>
      </c>
      <c r="P536" s="79">
        <v>1</v>
      </c>
      <c r="Q536" s="79" t="s">
        <v>106</v>
      </c>
      <c r="R536" s="79" t="s">
        <v>2727</v>
      </c>
      <c r="S536" s="79" t="s">
        <v>2840</v>
      </c>
      <c r="T536" s="79" t="s">
        <v>2703</v>
      </c>
      <c r="U536" s="79" t="s">
        <v>401</v>
      </c>
      <c r="V536" s="97"/>
      <c r="W536" s="97"/>
      <c r="X536" s="97"/>
      <c r="Y536" s="97"/>
      <c r="Z536" s="97"/>
      <c r="AA536" s="97"/>
      <c r="AB536" s="97"/>
      <c r="AC536" s="79" t="s">
        <v>401</v>
      </c>
      <c r="AD536" s="79">
        <v>127000</v>
      </c>
      <c r="AF536" s="79">
        <v>0</v>
      </c>
      <c r="AJ536" s="79">
        <v>1</v>
      </c>
      <c r="AK536" s="79">
        <v>1</v>
      </c>
      <c r="AL536" s="79">
        <v>1432</v>
      </c>
      <c r="AM536" s="79" t="s">
        <v>2693</v>
      </c>
      <c r="BK536" s="79" t="s">
        <v>2694</v>
      </c>
      <c r="BL536" s="79" t="s">
        <v>2704</v>
      </c>
      <c r="BM536" s="79" t="s">
        <v>2698</v>
      </c>
      <c r="BN536" s="79" t="s">
        <v>2696</v>
      </c>
      <c r="BO536" s="79" t="s">
        <v>2697</v>
      </c>
      <c r="BP536" s="79" t="s">
        <v>2698</v>
      </c>
      <c r="BQ536" s="79" t="s">
        <v>2699</v>
      </c>
      <c r="BR536" s="79" t="s">
        <v>2693</v>
      </c>
      <c r="BS536" s="79" t="s">
        <v>2699</v>
      </c>
      <c r="BT536" s="79" t="s">
        <v>2696</v>
      </c>
      <c r="BU536" s="79">
        <v>1</v>
      </c>
      <c r="BV536" s="79" t="s">
        <v>2696</v>
      </c>
      <c r="BW536" s="79" t="s">
        <v>2699</v>
      </c>
      <c r="BX536" s="79" t="s">
        <v>2696</v>
      </c>
      <c r="BY536" s="79" t="s">
        <v>2699</v>
      </c>
      <c r="BZ536" s="79" t="s">
        <v>2699</v>
      </c>
      <c r="CA536" s="79" t="s">
        <v>2699</v>
      </c>
      <c r="CB536" s="79">
        <v>9</v>
      </c>
      <c r="CC536" s="79" t="s">
        <v>2699</v>
      </c>
      <c r="CD536" s="79" t="s">
        <v>2696</v>
      </c>
      <c r="CF536" s="81" t="s">
        <v>4020</v>
      </c>
      <c r="CG536" s="81" t="s">
        <v>4021</v>
      </c>
      <c r="CH536" s="79" t="s">
        <v>2699</v>
      </c>
      <c r="CI536" s="79" t="s">
        <v>2699</v>
      </c>
      <c r="CJ536" s="79" t="s">
        <v>2734</v>
      </c>
      <c r="CK536" s="145">
        <v>0</v>
      </c>
      <c r="CL536"/>
    </row>
    <row r="537" spans="1:90" s="79" customFormat="1">
      <c r="A537" s="83" t="s">
        <v>1589</v>
      </c>
      <c r="B537" s="83" t="s">
        <v>2758</v>
      </c>
      <c r="C537" s="83"/>
      <c r="D537" s="83" t="s">
        <v>688</v>
      </c>
      <c r="E537" s="83" t="s">
        <v>689</v>
      </c>
      <c r="F537" s="83" t="s">
        <v>1786</v>
      </c>
      <c r="G537" s="83" t="s">
        <v>1828</v>
      </c>
      <c r="H537" s="83" t="s">
        <v>1201</v>
      </c>
      <c r="I537" s="83" t="s">
        <v>1202</v>
      </c>
      <c r="J537" s="83" t="s">
        <v>1203</v>
      </c>
      <c r="K537" s="83" t="s">
        <v>565</v>
      </c>
      <c r="L537" s="83" t="s">
        <v>398</v>
      </c>
      <c r="M537" s="83" t="s">
        <v>399</v>
      </c>
      <c r="N537" s="83" t="s">
        <v>1909</v>
      </c>
      <c r="O537" s="83" t="s">
        <v>106</v>
      </c>
      <c r="P537" s="83">
        <v>8</v>
      </c>
      <c r="Q537" s="83" t="s">
        <v>106</v>
      </c>
      <c r="R537" s="83" t="s">
        <v>2730</v>
      </c>
      <c r="S537" s="83" t="s">
        <v>2724</v>
      </c>
      <c r="T537" s="83" t="s">
        <v>2759</v>
      </c>
      <c r="U537" s="83" t="s">
        <v>401</v>
      </c>
      <c r="V537" s="97"/>
      <c r="W537" s="97"/>
      <c r="X537" s="97"/>
      <c r="Y537" s="97"/>
      <c r="Z537" s="97"/>
      <c r="AA537" s="97"/>
      <c r="AB537" s="97"/>
      <c r="AC537" s="83" t="s">
        <v>401</v>
      </c>
      <c r="AD537" s="83">
        <v>1715000</v>
      </c>
      <c r="AE537" s="83"/>
      <c r="AF537" s="83">
        <v>0</v>
      </c>
      <c r="AG537" s="83"/>
      <c r="AH537" s="83"/>
      <c r="AI537" s="83"/>
      <c r="AJ537" s="83">
        <v>1</v>
      </c>
      <c r="AK537" s="83">
        <v>1</v>
      </c>
      <c r="AL537" s="83">
        <v>14342</v>
      </c>
      <c r="AM537" s="83" t="s">
        <v>2693</v>
      </c>
      <c r="AN537" s="83"/>
      <c r="AO537" s="83"/>
      <c r="AP537" s="83"/>
      <c r="AQ537" s="83"/>
      <c r="AR537" s="83"/>
      <c r="AS537" s="83"/>
      <c r="AT537" s="83"/>
      <c r="AU537" s="83"/>
      <c r="AV537" s="83"/>
      <c r="AW537" s="83"/>
      <c r="AX537" s="83"/>
      <c r="AY537" s="83"/>
      <c r="AZ537" s="83"/>
      <c r="BA537" s="83"/>
      <c r="BB537" s="83"/>
      <c r="BC537" s="83"/>
      <c r="BD537" s="83"/>
      <c r="BE537" s="83"/>
      <c r="BF537" s="83"/>
      <c r="BG537" s="83"/>
      <c r="BH537" s="83"/>
      <c r="BI537" s="83"/>
      <c r="BJ537" s="83"/>
      <c r="BK537" s="83" t="s">
        <v>2694</v>
      </c>
      <c r="BL537" s="83" t="s">
        <v>2697</v>
      </c>
      <c r="BM537" s="83" t="s">
        <v>2699</v>
      </c>
      <c r="BN537" s="83" t="s">
        <v>2698</v>
      </c>
      <c r="BO537" s="83" t="s">
        <v>2697</v>
      </c>
      <c r="BP537" s="83" t="s">
        <v>2697</v>
      </c>
      <c r="BQ537" s="83" t="s">
        <v>2693</v>
      </c>
      <c r="BR537" s="83" t="s">
        <v>2699</v>
      </c>
      <c r="BS537" s="83" t="s">
        <v>2699</v>
      </c>
      <c r="BT537" s="83">
        <v>0</v>
      </c>
      <c r="BU537" s="83" t="s">
        <v>2699</v>
      </c>
      <c r="BV537" s="83" t="s">
        <v>2696</v>
      </c>
      <c r="BW537" s="83" t="s">
        <v>2698</v>
      </c>
      <c r="BX537" s="83" t="s">
        <v>2696</v>
      </c>
      <c r="BY537" s="83" t="s">
        <v>2699</v>
      </c>
      <c r="BZ537" s="83" t="s">
        <v>2699</v>
      </c>
      <c r="CA537" s="83" t="s">
        <v>2693</v>
      </c>
      <c r="CB537" s="83">
        <v>9</v>
      </c>
      <c r="CC537" s="83">
        <v>1</v>
      </c>
      <c r="CD537" s="83" t="s">
        <v>2699</v>
      </c>
      <c r="CE537" s="83"/>
      <c r="CF537" s="83" t="s">
        <v>2163</v>
      </c>
      <c r="CG537" s="83" t="s">
        <v>2164</v>
      </c>
      <c r="CH537" s="83" t="s">
        <v>2695</v>
      </c>
      <c r="CI537" s="83" t="s">
        <v>648</v>
      </c>
      <c r="CJ537" s="83" t="s">
        <v>2731</v>
      </c>
      <c r="CK537" s="144">
        <v>0</v>
      </c>
      <c r="CL537"/>
    </row>
    <row r="538" spans="1:90" s="79" customFormat="1">
      <c r="A538" s="83" t="s">
        <v>1590</v>
      </c>
      <c r="B538" s="83" t="s">
        <v>2758</v>
      </c>
      <c r="C538" s="83"/>
      <c r="D538" s="83" t="s">
        <v>688</v>
      </c>
      <c r="E538" s="83" t="s">
        <v>2423</v>
      </c>
      <c r="F538" s="83" t="s">
        <v>1786</v>
      </c>
      <c r="G538" s="83" t="s">
        <v>1828</v>
      </c>
      <c r="H538" s="83" t="s">
        <v>1201</v>
      </c>
      <c r="I538" s="83" t="s">
        <v>1202</v>
      </c>
      <c r="J538" s="83" t="s">
        <v>1203</v>
      </c>
      <c r="K538" s="83" t="s">
        <v>565</v>
      </c>
      <c r="L538" s="83" t="s">
        <v>398</v>
      </c>
      <c r="M538" s="83" t="s">
        <v>399</v>
      </c>
      <c r="N538" s="83" t="s">
        <v>1909</v>
      </c>
      <c r="O538" s="83" t="s">
        <v>106</v>
      </c>
      <c r="P538" s="83">
        <v>4</v>
      </c>
      <c r="Q538" s="83" t="s">
        <v>106</v>
      </c>
      <c r="R538" s="83" t="s">
        <v>2727</v>
      </c>
      <c r="S538" s="83" t="s">
        <v>2760</v>
      </c>
      <c r="T538" s="83" t="s">
        <v>2703</v>
      </c>
      <c r="U538" s="83" t="s">
        <v>401</v>
      </c>
      <c r="V538" s="97"/>
      <c r="W538" s="97"/>
      <c r="X538" s="97"/>
      <c r="Y538" s="97"/>
      <c r="Z538" s="97"/>
      <c r="AA538" s="97"/>
      <c r="AB538" s="97"/>
      <c r="AC538" s="83" t="s">
        <v>401</v>
      </c>
      <c r="AD538" s="83">
        <v>74000</v>
      </c>
      <c r="AE538" s="83"/>
      <c r="AF538" s="83">
        <v>0</v>
      </c>
      <c r="AG538" s="83"/>
      <c r="AH538" s="83"/>
      <c r="AI538" s="83"/>
      <c r="AJ538" s="83">
        <v>1</v>
      </c>
      <c r="AK538" s="83">
        <v>1</v>
      </c>
      <c r="AL538" s="83">
        <v>1080</v>
      </c>
      <c r="AM538" s="83" t="s">
        <v>2693</v>
      </c>
      <c r="AN538" s="83"/>
      <c r="AO538" s="83"/>
      <c r="AP538" s="83"/>
      <c r="AQ538" s="83"/>
      <c r="AR538" s="83"/>
      <c r="AS538" s="83"/>
      <c r="AT538" s="83"/>
      <c r="AU538" s="83"/>
      <c r="AV538" s="83"/>
      <c r="AW538" s="83"/>
      <c r="AX538" s="83"/>
      <c r="AY538" s="83"/>
      <c r="AZ538" s="83"/>
      <c r="BA538" s="83"/>
      <c r="BB538" s="83"/>
      <c r="BC538" s="83"/>
      <c r="BD538" s="83"/>
      <c r="BE538" s="83"/>
      <c r="BF538" s="83"/>
      <c r="BG538" s="83"/>
      <c r="BH538" s="83"/>
      <c r="BI538" s="83"/>
      <c r="BJ538" s="83"/>
      <c r="BK538" s="83" t="s">
        <v>2694</v>
      </c>
      <c r="BL538" s="83" t="s">
        <v>2697</v>
      </c>
      <c r="BM538" s="83" t="s">
        <v>2699</v>
      </c>
      <c r="BN538" s="83" t="s">
        <v>2698</v>
      </c>
      <c r="BO538" s="83" t="s">
        <v>2697</v>
      </c>
      <c r="BP538" s="83" t="s">
        <v>2697</v>
      </c>
      <c r="BQ538" s="83" t="s">
        <v>2693</v>
      </c>
      <c r="BR538" s="83" t="s">
        <v>2699</v>
      </c>
      <c r="BS538" s="83" t="s">
        <v>2699</v>
      </c>
      <c r="BT538" s="83">
        <v>0</v>
      </c>
      <c r="BU538" s="83" t="s">
        <v>2699</v>
      </c>
      <c r="BV538" s="83" t="s">
        <v>2696</v>
      </c>
      <c r="BW538" s="83" t="s">
        <v>2698</v>
      </c>
      <c r="BX538" s="83" t="s">
        <v>2696</v>
      </c>
      <c r="BY538" s="83" t="s">
        <v>2699</v>
      </c>
      <c r="BZ538" s="83" t="s">
        <v>2699</v>
      </c>
      <c r="CA538" s="83" t="s">
        <v>2693</v>
      </c>
      <c r="CB538" s="83">
        <v>9</v>
      </c>
      <c r="CC538" s="83">
        <v>1</v>
      </c>
      <c r="CD538" s="83" t="s">
        <v>2696</v>
      </c>
      <c r="CE538" s="83"/>
      <c r="CF538" s="83" t="s">
        <v>2165</v>
      </c>
      <c r="CG538" s="83" t="s">
        <v>2166</v>
      </c>
      <c r="CH538" s="83" t="s">
        <v>2693</v>
      </c>
      <c r="CI538" s="83" t="s">
        <v>3992</v>
      </c>
      <c r="CJ538" s="83" t="s">
        <v>2701</v>
      </c>
      <c r="CK538" s="144">
        <v>0</v>
      </c>
      <c r="CL538"/>
    </row>
    <row r="539" spans="1:90" s="79" customFormat="1">
      <c r="A539" s="79" t="s">
        <v>1590</v>
      </c>
      <c r="B539" s="79" t="s">
        <v>4026</v>
      </c>
      <c r="D539" s="84" t="s">
        <v>688</v>
      </c>
      <c r="E539" s="79" t="s">
        <v>711</v>
      </c>
      <c r="F539" s="79" t="s">
        <v>1786</v>
      </c>
      <c r="G539" s="79" t="s">
        <v>1828</v>
      </c>
      <c r="H539" s="79" t="s">
        <v>1201</v>
      </c>
      <c r="I539" s="79" t="s">
        <v>1202</v>
      </c>
      <c r="J539" s="79" t="s">
        <v>1203</v>
      </c>
      <c r="K539" s="79" t="s">
        <v>565</v>
      </c>
      <c r="L539" s="79" t="s">
        <v>398</v>
      </c>
      <c r="M539" s="79" t="s">
        <v>399</v>
      </c>
      <c r="N539" s="79" t="s">
        <v>1909</v>
      </c>
      <c r="O539" s="79" t="s">
        <v>106</v>
      </c>
      <c r="P539" s="79">
        <v>4</v>
      </c>
      <c r="Q539" s="79" t="s">
        <v>106</v>
      </c>
      <c r="R539" s="79">
        <v>10</v>
      </c>
      <c r="S539" s="79" t="s">
        <v>2760</v>
      </c>
      <c r="T539" s="79" t="s">
        <v>2703</v>
      </c>
      <c r="U539" s="79" t="s">
        <v>401</v>
      </c>
      <c r="V539" s="97"/>
      <c r="W539" s="97"/>
      <c r="X539" s="97"/>
      <c r="Y539" s="97"/>
      <c r="Z539" s="97"/>
      <c r="AA539" s="97"/>
      <c r="AB539" s="97"/>
      <c r="AC539" s="79" t="s">
        <v>401</v>
      </c>
      <c r="AD539" s="85">
        <v>74000</v>
      </c>
      <c r="AF539" s="79">
        <v>0</v>
      </c>
      <c r="AJ539" s="79">
        <v>1</v>
      </c>
      <c r="AK539" s="79">
        <v>1</v>
      </c>
      <c r="AL539" s="79">
        <v>1080</v>
      </c>
      <c r="AM539" s="79" t="s">
        <v>2693</v>
      </c>
      <c r="BK539" s="79" t="s">
        <v>2694</v>
      </c>
      <c r="BL539" s="79">
        <v>4</v>
      </c>
      <c r="BM539" s="79">
        <v>2</v>
      </c>
      <c r="BN539" s="79">
        <v>5</v>
      </c>
      <c r="BO539" s="79">
        <v>3</v>
      </c>
      <c r="BP539" s="79">
        <v>5</v>
      </c>
      <c r="BQ539" s="79" t="s">
        <v>2693</v>
      </c>
      <c r="BR539" s="79">
        <v>2</v>
      </c>
      <c r="BS539" s="79">
        <v>1</v>
      </c>
      <c r="BT539" s="79" t="s">
        <v>2696</v>
      </c>
      <c r="BU539" s="79">
        <v>1</v>
      </c>
      <c r="BV539" s="79">
        <v>0</v>
      </c>
      <c r="BW539" s="79">
        <v>5</v>
      </c>
      <c r="BX539" s="79">
        <v>0</v>
      </c>
      <c r="BY539" s="79">
        <v>1</v>
      </c>
      <c r="CA539" s="79">
        <v>1</v>
      </c>
      <c r="CB539" s="79">
        <v>9</v>
      </c>
      <c r="CC539" s="79">
        <v>1</v>
      </c>
      <c r="CD539" s="79">
        <v>0</v>
      </c>
      <c r="CF539" s="86" t="s">
        <v>2165</v>
      </c>
      <c r="CG539" s="86" t="s">
        <v>2166</v>
      </c>
      <c r="CH539" s="79">
        <v>2</v>
      </c>
      <c r="CI539" s="79" t="s">
        <v>2076</v>
      </c>
      <c r="CJ539" s="79">
        <v>114</v>
      </c>
      <c r="CK539" s="145">
        <v>0</v>
      </c>
      <c r="CL539"/>
    </row>
    <row r="540" spans="1:90" s="79" customFormat="1">
      <c r="A540" s="83" t="s">
        <v>3131</v>
      </c>
      <c r="B540" s="83" t="s">
        <v>2600</v>
      </c>
      <c r="C540" s="83"/>
      <c r="D540" s="83" t="s">
        <v>688</v>
      </c>
      <c r="E540" s="83" t="s">
        <v>2601</v>
      </c>
      <c r="F540" s="83" t="s">
        <v>3132</v>
      </c>
      <c r="G540" s="83" t="s">
        <v>1896</v>
      </c>
      <c r="H540" s="83" t="s">
        <v>1201</v>
      </c>
      <c r="I540" s="83" t="s">
        <v>1202</v>
      </c>
      <c r="J540" s="83" t="s">
        <v>1203</v>
      </c>
      <c r="K540" s="83" t="s">
        <v>565</v>
      </c>
      <c r="L540" s="83" t="s">
        <v>398</v>
      </c>
      <c r="M540" s="83" t="s">
        <v>399</v>
      </c>
      <c r="N540" s="83" t="s">
        <v>1909</v>
      </c>
      <c r="O540" s="83" t="s">
        <v>106</v>
      </c>
      <c r="P540" s="83">
        <v>4</v>
      </c>
      <c r="Q540" s="83" t="s">
        <v>106</v>
      </c>
      <c r="R540" s="83" t="s">
        <v>2799</v>
      </c>
      <c r="S540" s="83" t="s">
        <v>1454</v>
      </c>
      <c r="T540" s="83" t="s">
        <v>2843</v>
      </c>
      <c r="U540" s="83" t="s">
        <v>401</v>
      </c>
      <c r="V540" s="97"/>
      <c r="W540" s="97"/>
      <c r="X540" s="97"/>
      <c r="Y540" s="97"/>
      <c r="Z540" s="97"/>
      <c r="AA540" s="97"/>
      <c r="AB540" s="97"/>
      <c r="AC540" s="83" t="s">
        <v>401</v>
      </c>
      <c r="AD540" s="83">
        <v>548000</v>
      </c>
      <c r="AE540" s="83"/>
      <c r="AF540" s="83">
        <v>0</v>
      </c>
      <c r="AG540" s="83"/>
      <c r="AH540" s="83"/>
      <c r="AI540" s="83"/>
      <c r="AJ540" s="83">
        <v>1</v>
      </c>
      <c r="AK540" s="83">
        <v>1</v>
      </c>
      <c r="AL540" s="83">
        <v>5184</v>
      </c>
      <c r="AM540" s="83" t="s">
        <v>2693</v>
      </c>
      <c r="AN540" s="83"/>
      <c r="AO540" s="83"/>
      <c r="AP540" s="83"/>
      <c r="AQ540" s="83"/>
      <c r="AR540" s="83"/>
      <c r="AS540" s="83"/>
      <c r="AT540" s="83"/>
      <c r="AU540" s="83"/>
      <c r="AV540" s="83"/>
      <c r="AW540" s="83"/>
      <c r="AX540" s="83"/>
      <c r="AY540" s="83"/>
      <c r="AZ540" s="83"/>
      <c r="BA540" s="83"/>
      <c r="BB540" s="83"/>
      <c r="BC540" s="83"/>
      <c r="BD540" s="83"/>
      <c r="BE540" s="83"/>
      <c r="BF540" s="83"/>
      <c r="BG540" s="83"/>
      <c r="BH540" s="83"/>
      <c r="BI540" s="83"/>
      <c r="BJ540" s="83"/>
      <c r="BK540" s="83" t="s">
        <v>2694</v>
      </c>
      <c r="BL540" s="83" t="s">
        <v>2695</v>
      </c>
      <c r="BM540" s="83" t="s">
        <v>2699</v>
      </c>
      <c r="BN540" s="83" t="s">
        <v>2698</v>
      </c>
      <c r="BO540" s="83" t="s">
        <v>2697</v>
      </c>
      <c r="BP540" s="83" t="s">
        <v>2698</v>
      </c>
      <c r="BQ540" s="83" t="s">
        <v>2699</v>
      </c>
      <c r="BR540" s="83" t="s">
        <v>2699</v>
      </c>
      <c r="BS540" s="83" t="s">
        <v>2699</v>
      </c>
      <c r="BT540" s="83" t="s">
        <v>2696</v>
      </c>
      <c r="BU540" s="83" t="s">
        <v>2699</v>
      </c>
      <c r="BV540" s="83" t="s">
        <v>2696</v>
      </c>
      <c r="BW540" s="83" t="s">
        <v>2698</v>
      </c>
      <c r="BX540" s="83" t="s">
        <v>2696</v>
      </c>
      <c r="BY540" s="83" t="s">
        <v>2699</v>
      </c>
      <c r="BZ540" s="83" t="s">
        <v>2693</v>
      </c>
      <c r="CA540" s="83" t="s">
        <v>2693</v>
      </c>
      <c r="CB540" s="83" t="s">
        <v>2694</v>
      </c>
      <c r="CC540" s="83" t="s">
        <v>2699</v>
      </c>
      <c r="CD540" s="83" t="s">
        <v>2696</v>
      </c>
      <c r="CE540" s="83"/>
      <c r="CF540" s="83" t="s">
        <v>2169</v>
      </c>
      <c r="CG540" s="83" t="s">
        <v>2466</v>
      </c>
      <c r="CH540" s="83" t="s">
        <v>2693</v>
      </c>
      <c r="CI540" s="83" t="s">
        <v>3992</v>
      </c>
      <c r="CJ540" s="83" t="s">
        <v>2701</v>
      </c>
      <c r="CK540" s="144"/>
      <c r="CL540"/>
    </row>
    <row r="541" spans="1:90" s="79" customFormat="1">
      <c r="A541" s="79" t="s">
        <v>3578</v>
      </c>
      <c r="B541" s="79" t="s">
        <v>4043</v>
      </c>
      <c r="D541" s="79" t="s">
        <v>688</v>
      </c>
      <c r="E541" s="79" t="s">
        <v>4043</v>
      </c>
      <c r="F541" s="79" t="s">
        <v>3579</v>
      </c>
      <c r="G541" s="79" t="s">
        <v>2446</v>
      </c>
      <c r="H541" s="79" t="s">
        <v>1201</v>
      </c>
      <c r="I541" s="79" t="s">
        <v>1202</v>
      </c>
      <c r="J541" s="79" t="s">
        <v>1203</v>
      </c>
      <c r="K541" s="79" t="s">
        <v>565</v>
      </c>
      <c r="L541" s="79" t="s">
        <v>398</v>
      </c>
      <c r="M541" s="79" t="s">
        <v>399</v>
      </c>
      <c r="N541" s="79" t="s">
        <v>1909</v>
      </c>
      <c r="O541" s="79" t="s">
        <v>106</v>
      </c>
      <c r="P541" s="79">
        <v>4</v>
      </c>
      <c r="Q541" s="79" t="s">
        <v>106</v>
      </c>
      <c r="R541" s="79" t="s">
        <v>2727</v>
      </c>
      <c r="S541" s="79" t="s">
        <v>2764</v>
      </c>
      <c r="T541" s="79" t="s">
        <v>2703</v>
      </c>
      <c r="U541" s="79" t="s">
        <v>401</v>
      </c>
      <c r="V541" s="97"/>
      <c r="W541" s="97"/>
      <c r="X541" s="97"/>
      <c r="Y541" s="97"/>
      <c r="Z541" s="97"/>
      <c r="AA541" s="97"/>
      <c r="AB541" s="97"/>
      <c r="AC541" s="79" t="s">
        <v>401</v>
      </c>
      <c r="AD541" s="79">
        <v>252000</v>
      </c>
      <c r="AF541" s="79">
        <v>0</v>
      </c>
      <c r="AJ541" s="79">
        <v>1</v>
      </c>
      <c r="AK541" s="79">
        <v>1</v>
      </c>
      <c r="AL541" s="79">
        <v>2774</v>
      </c>
      <c r="AM541" s="79" t="s">
        <v>2693</v>
      </c>
      <c r="BK541" s="79" t="s">
        <v>2694</v>
      </c>
      <c r="BL541" s="79" t="s">
        <v>2704</v>
      </c>
      <c r="BM541" s="79" t="s">
        <v>2698</v>
      </c>
      <c r="BN541" s="79" t="s">
        <v>2696</v>
      </c>
      <c r="BO541" s="79" t="s">
        <v>2697</v>
      </c>
      <c r="BP541" s="79" t="s">
        <v>2698</v>
      </c>
      <c r="BQ541" s="79" t="s">
        <v>2699</v>
      </c>
      <c r="BR541" s="79" t="s">
        <v>2693</v>
      </c>
      <c r="BS541" s="79" t="s">
        <v>2699</v>
      </c>
      <c r="BT541" s="79" t="s">
        <v>2696</v>
      </c>
      <c r="BU541" s="79">
        <v>1</v>
      </c>
      <c r="BV541" s="79" t="s">
        <v>2696</v>
      </c>
      <c r="BW541" s="79" t="s">
        <v>2698</v>
      </c>
      <c r="BX541" s="79" t="s">
        <v>2696</v>
      </c>
      <c r="BY541" s="79" t="s">
        <v>2699</v>
      </c>
      <c r="BZ541" s="79" t="s">
        <v>2699</v>
      </c>
      <c r="CA541" s="79" t="s">
        <v>2693</v>
      </c>
      <c r="CB541" s="79" t="s">
        <v>2699</v>
      </c>
      <c r="CC541" s="79" t="s">
        <v>2699</v>
      </c>
      <c r="CD541" s="79" t="s">
        <v>2696</v>
      </c>
      <c r="CF541" s="81" t="s">
        <v>4060</v>
      </c>
      <c r="CG541" s="81" t="s">
        <v>4061</v>
      </c>
      <c r="CH541" s="79" t="s">
        <v>2693</v>
      </c>
      <c r="CI541" s="79" t="s">
        <v>2076</v>
      </c>
      <c r="CJ541" s="79" t="s">
        <v>2701</v>
      </c>
      <c r="CK541" s="145">
        <v>0</v>
      </c>
      <c r="CL541"/>
    </row>
    <row r="542" spans="1:90" s="79" customFormat="1">
      <c r="A542" s="79" t="s">
        <v>3582</v>
      </c>
      <c r="B542" s="79" t="s">
        <v>4043</v>
      </c>
      <c r="D542" s="79" t="s">
        <v>688</v>
      </c>
      <c r="E542" s="79" t="s">
        <v>4043</v>
      </c>
      <c r="F542" s="79" t="s">
        <v>3583</v>
      </c>
      <c r="G542" s="79" t="s">
        <v>2446</v>
      </c>
      <c r="H542" s="79" t="s">
        <v>1201</v>
      </c>
      <c r="I542" s="79" t="s">
        <v>1202</v>
      </c>
      <c r="J542" s="79" t="s">
        <v>1203</v>
      </c>
      <c r="K542" s="79" t="s">
        <v>565</v>
      </c>
      <c r="L542" s="79" t="s">
        <v>398</v>
      </c>
      <c r="M542" s="79" t="s">
        <v>399</v>
      </c>
      <c r="N542" s="79" t="s">
        <v>1909</v>
      </c>
      <c r="O542" s="79" t="s">
        <v>106</v>
      </c>
      <c r="P542" s="79">
        <v>4</v>
      </c>
      <c r="Q542" s="79" t="s">
        <v>106</v>
      </c>
      <c r="R542" s="79" t="s">
        <v>2727</v>
      </c>
      <c r="S542" s="79" t="s">
        <v>2764</v>
      </c>
      <c r="T542" s="79" t="s">
        <v>2703</v>
      </c>
      <c r="U542" s="79" t="s">
        <v>401</v>
      </c>
      <c r="V542" s="97"/>
      <c r="W542" s="97"/>
      <c r="X542" s="97"/>
      <c r="Y542" s="97"/>
      <c r="Z542" s="97"/>
      <c r="AA542" s="97"/>
      <c r="AB542" s="97"/>
      <c r="AC542" s="79" t="s">
        <v>401</v>
      </c>
      <c r="AD542" s="79">
        <v>252000</v>
      </c>
      <c r="AF542" s="79">
        <v>0</v>
      </c>
      <c r="AJ542" s="79">
        <v>1</v>
      </c>
      <c r="AK542" s="79">
        <v>1</v>
      </c>
      <c r="AL542" s="79">
        <v>2774</v>
      </c>
      <c r="AM542" s="79" t="s">
        <v>2693</v>
      </c>
      <c r="BK542" s="79" t="s">
        <v>2694</v>
      </c>
      <c r="BL542" s="79" t="s">
        <v>2704</v>
      </c>
      <c r="BM542" s="79" t="s">
        <v>2698</v>
      </c>
      <c r="BN542" s="79" t="s">
        <v>2696</v>
      </c>
      <c r="BO542" s="79" t="s">
        <v>2697</v>
      </c>
      <c r="BP542" s="79" t="s">
        <v>2698</v>
      </c>
      <c r="BQ542" s="79" t="s">
        <v>2699</v>
      </c>
      <c r="BR542" s="79" t="s">
        <v>2693</v>
      </c>
      <c r="BS542" s="79" t="s">
        <v>2699</v>
      </c>
      <c r="BT542" s="79" t="s">
        <v>2696</v>
      </c>
      <c r="BU542" s="79">
        <v>1</v>
      </c>
      <c r="BV542" s="79" t="s">
        <v>2696</v>
      </c>
      <c r="BW542" s="79" t="s">
        <v>2698</v>
      </c>
      <c r="BX542" s="79" t="s">
        <v>2696</v>
      </c>
      <c r="BY542" s="79" t="s">
        <v>2699</v>
      </c>
      <c r="BZ542" s="79" t="s">
        <v>2699</v>
      </c>
      <c r="CA542" s="79" t="s">
        <v>2693</v>
      </c>
      <c r="CB542" s="79" t="s">
        <v>2699</v>
      </c>
      <c r="CC542" s="79" t="s">
        <v>2699</v>
      </c>
      <c r="CD542" s="79" t="s">
        <v>2696</v>
      </c>
      <c r="CF542" s="81" t="s">
        <v>4063</v>
      </c>
      <c r="CG542" s="81" t="s">
        <v>4064</v>
      </c>
      <c r="CH542" s="79" t="s">
        <v>2693</v>
      </c>
      <c r="CI542" s="79" t="s">
        <v>2076</v>
      </c>
      <c r="CJ542" s="79" t="s">
        <v>2701</v>
      </c>
      <c r="CK542" s="145">
        <v>0</v>
      </c>
      <c r="CL542"/>
    </row>
    <row r="543" spans="1:90" s="79" customFormat="1">
      <c r="A543" s="79" t="s">
        <v>3625</v>
      </c>
      <c r="B543" s="79" t="s">
        <v>4043</v>
      </c>
      <c r="D543" s="79" t="s">
        <v>688</v>
      </c>
      <c r="E543" s="79" t="s">
        <v>4043</v>
      </c>
      <c r="F543" s="79" t="s">
        <v>3626</v>
      </c>
      <c r="G543" s="79" t="s">
        <v>2446</v>
      </c>
      <c r="H543" s="79" t="s">
        <v>1201</v>
      </c>
      <c r="I543" s="79" t="s">
        <v>1202</v>
      </c>
      <c r="J543" s="79" t="s">
        <v>1203</v>
      </c>
      <c r="K543" s="79" t="s">
        <v>565</v>
      </c>
      <c r="L543" s="79" t="s">
        <v>398</v>
      </c>
      <c r="M543" s="79" t="s">
        <v>399</v>
      </c>
      <c r="N543" s="79" t="s">
        <v>1909</v>
      </c>
      <c r="O543" s="79" t="s">
        <v>106</v>
      </c>
      <c r="P543" s="79">
        <v>4</v>
      </c>
      <c r="Q543" s="79" t="s">
        <v>106</v>
      </c>
      <c r="R543" s="79" t="s">
        <v>2727</v>
      </c>
      <c r="S543" s="79" t="s">
        <v>2764</v>
      </c>
      <c r="T543" s="79" t="s">
        <v>2703</v>
      </c>
      <c r="U543" s="79" t="s">
        <v>401</v>
      </c>
      <c r="V543" s="97"/>
      <c r="W543" s="97"/>
      <c r="X543" s="97"/>
      <c r="Y543" s="97"/>
      <c r="Z543" s="97"/>
      <c r="AA543" s="97"/>
      <c r="AB543" s="97"/>
      <c r="AC543" s="79" t="s">
        <v>401</v>
      </c>
      <c r="AD543" s="79">
        <v>252000</v>
      </c>
      <c r="AF543" s="79">
        <v>0</v>
      </c>
      <c r="AJ543" s="79">
        <v>1</v>
      </c>
      <c r="AK543" s="79">
        <v>1</v>
      </c>
      <c r="AL543" s="79">
        <v>2774</v>
      </c>
      <c r="AM543" s="79" t="s">
        <v>2693</v>
      </c>
      <c r="BK543" s="79" t="s">
        <v>2694</v>
      </c>
      <c r="BL543" s="79" t="s">
        <v>2704</v>
      </c>
      <c r="BM543" s="79" t="s">
        <v>2698</v>
      </c>
      <c r="BN543" s="79" t="s">
        <v>2696</v>
      </c>
      <c r="BO543" s="79" t="s">
        <v>2697</v>
      </c>
      <c r="BP543" s="79" t="s">
        <v>2698</v>
      </c>
      <c r="BQ543" s="79" t="s">
        <v>2699</v>
      </c>
      <c r="BR543" s="79" t="s">
        <v>2693</v>
      </c>
      <c r="BS543" s="79" t="s">
        <v>2699</v>
      </c>
      <c r="BT543" s="79" t="s">
        <v>2696</v>
      </c>
      <c r="BU543" s="79">
        <v>1</v>
      </c>
      <c r="BV543" s="79" t="s">
        <v>2696</v>
      </c>
      <c r="BW543" s="79" t="s">
        <v>2698</v>
      </c>
      <c r="BX543" s="79" t="s">
        <v>2696</v>
      </c>
      <c r="BY543" s="79" t="s">
        <v>2699</v>
      </c>
      <c r="BZ543" s="79" t="s">
        <v>2699</v>
      </c>
      <c r="CA543" s="79" t="s">
        <v>2693</v>
      </c>
      <c r="CB543" s="79" t="s">
        <v>2699</v>
      </c>
      <c r="CC543" s="79" t="s">
        <v>2699</v>
      </c>
      <c r="CD543" s="79" t="s">
        <v>2696</v>
      </c>
      <c r="CF543" s="81" t="s">
        <v>4100</v>
      </c>
      <c r="CG543" s="81" t="s">
        <v>4101</v>
      </c>
      <c r="CH543" s="79" t="s">
        <v>2693</v>
      </c>
      <c r="CI543" s="79" t="s">
        <v>2076</v>
      </c>
      <c r="CJ543" s="79" t="s">
        <v>2701</v>
      </c>
      <c r="CK543" s="145">
        <v>0</v>
      </c>
      <c r="CL543"/>
    </row>
    <row r="544" spans="1:90" s="79" customFormat="1">
      <c r="A544" s="79" t="s">
        <v>3623</v>
      </c>
      <c r="B544" s="79" t="s">
        <v>4043</v>
      </c>
      <c r="D544" s="79" t="s">
        <v>688</v>
      </c>
      <c r="E544" s="79" t="s">
        <v>4043</v>
      </c>
      <c r="F544" s="79" t="s">
        <v>3624</v>
      </c>
      <c r="G544" s="79" t="s">
        <v>2446</v>
      </c>
      <c r="H544" s="79" t="s">
        <v>1201</v>
      </c>
      <c r="I544" s="79" t="s">
        <v>1202</v>
      </c>
      <c r="J544" s="79" t="s">
        <v>1203</v>
      </c>
      <c r="K544" s="79" t="s">
        <v>565</v>
      </c>
      <c r="L544" s="79" t="s">
        <v>398</v>
      </c>
      <c r="M544" s="79" t="s">
        <v>399</v>
      </c>
      <c r="N544" s="79" t="s">
        <v>1909</v>
      </c>
      <c r="O544" s="79" t="s">
        <v>106</v>
      </c>
      <c r="P544" s="79">
        <v>4</v>
      </c>
      <c r="Q544" s="79" t="s">
        <v>106</v>
      </c>
      <c r="R544" s="79" t="s">
        <v>2727</v>
      </c>
      <c r="S544" s="79" t="s">
        <v>2764</v>
      </c>
      <c r="T544" s="79" t="s">
        <v>2703</v>
      </c>
      <c r="U544" s="79" t="s">
        <v>401</v>
      </c>
      <c r="V544" s="97"/>
      <c r="W544" s="97"/>
      <c r="X544" s="97"/>
      <c r="Y544" s="97"/>
      <c r="Z544" s="97"/>
      <c r="AA544" s="97"/>
      <c r="AB544" s="97"/>
      <c r="AC544" s="79" t="s">
        <v>401</v>
      </c>
      <c r="AD544" s="79">
        <v>252000</v>
      </c>
      <c r="AF544" s="79">
        <v>0</v>
      </c>
      <c r="AJ544" s="79">
        <v>1</v>
      </c>
      <c r="AK544" s="79">
        <v>1</v>
      </c>
      <c r="AL544" s="79">
        <v>2774</v>
      </c>
      <c r="AM544" s="79" t="s">
        <v>2693</v>
      </c>
      <c r="BK544" s="79" t="s">
        <v>2694</v>
      </c>
      <c r="BL544" s="79" t="s">
        <v>2704</v>
      </c>
      <c r="BM544" s="79" t="s">
        <v>2698</v>
      </c>
      <c r="BO544" s="79" t="s">
        <v>2697</v>
      </c>
      <c r="BP544" s="79" t="s">
        <v>2698</v>
      </c>
      <c r="BQ544" s="79" t="s">
        <v>2693</v>
      </c>
      <c r="BR544" s="79" t="s">
        <v>2693</v>
      </c>
      <c r="BS544" s="79" t="s">
        <v>2699</v>
      </c>
      <c r="BT544" s="79" t="s">
        <v>2696</v>
      </c>
      <c r="BU544" s="79">
        <v>1</v>
      </c>
      <c r="BV544" s="79" t="s">
        <v>2696</v>
      </c>
      <c r="BW544" s="79" t="s">
        <v>2698</v>
      </c>
      <c r="BX544" s="79" t="s">
        <v>2696</v>
      </c>
      <c r="BY544" s="79" t="s">
        <v>2699</v>
      </c>
      <c r="BZ544" s="79" t="s">
        <v>2699</v>
      </c>
      <c r="CA544" s="79" t="s">
        <v>2693</v>
      </c>
      <c r="CB544" s="79" t="s">
        <v>2699</v>
      </c>
      <c r="CC544" s="79" t="s">
        <v>2699</v>
      </c>
      <c r="CD544" s="79">
        <v>0</v>
      </c>
      <c r="CF544" s="81" t="s">
        <v>4098</v>
      </c>
      <c r="CG544" s="81" t="s">
        <v>4099</v>
      </c>
      <c r="CH544" s="79" t="s">
        <v>2693</v>
      </c>
      <c r="CI544" s="79" t="s">
        <v>3992</v>
      </c>
      <c r="CJ544" s="79" t="s">
        <v>2701</v>
      </c>
      <c r="CK544" s="145">
        <v>0</v>
      </c>
      <c r="CL544"/>
    </row>
    <row r="545" spans="1:90" s="79" customFormat="1">
      <c r="A545" s="79" t="s">
        <v>3584</v>
      </c>
      <c r="B545" s="79" t="s">
        <v>4043</v>
      </c>
      <c r="D545" s="79" t="s">
        <v>688</v>
      </c>
      <c r="E545" s="79" t="s">
        <v>4043</v>
      </c>
      <c r="F545" s="79" t="s">
        <v>3585</v>
      </c>
      <c r="G545" s="79" t="s">
        <v>2446</v>
      </c>
      <c r="H545" s="79" t="s">
        <v>1201</v>
      </c>
      <c r="I545" s="79" t="s">
        <v>1202</v>
      </c>
      <c r="J545" s="79" t="s">
        <v>1203</v>
      </c>
      <c r="K545" s="79" t="s">
        <v>565</v>
      </c>
      <c r="L545" s="79" t="s">
        <v>398</v>
      </c>
      <c r="M545" s="79" t="s">
        <v>399</v>
      </c>
      <c r="N545" s="79" t="s">
        <v>1909</v>
      </c>
      <c r="O545" s="79" t="s">
        <v>106</v>
      </c>
      <c r="P545" s="79">
        <v>4</v>
      </c>
      <c r="Q545" s="79" t="s">
        <v>106</v>
      </c>
      <c r="R545" s="79" t="s">
        <v>2727</v>
      </c>
      <c r="S545" s="79" t="s">
        <v>2764</v>
      </c>
      <c r="T545" s="79" t="s">
        <v>2703</v>
      </c>
      <c r="U545" s="79" t="s">
        <v>401</v>
      </c>
      <c r="V545" s="97"/>
      <c r="W545" s="97"/>
      <c r="X545" s="97"/>
      <c r="Y545" s="97"/>
      <c r="Z545" s="97"/>
      <c r="AA545" s="97"/>
      <c r="AB545" s="97"/>
      <c r="AC545" s="79" t="s">
        <v>401</v>
      </c>
      <c r="AD545" s="79">
        <v>252000</v>
      </c>
      <c r="AF545" s="79">
        <v>0</v>
      </c>
      <c r="AJ545" s="79">
        <v>1</v>
      </c>
      <c r="AK545" s="79">
        <v>1</v>
      </c>
      <c r="AL545" s="79">
        <v>2774</v>
      </c>
      <c r="AM545" s="79" t="s">
        <v>2693</v>
      </c>
      <c r="BK545" s="79" t="s">
        <v>2694</v>
      </c>
      <c r="BL545" s="79" t="s">
        <v>2704</v>
      </c>
      <c r="BM545" s="79" t="s">
        <v>2698</v>
      </c>
      <c r="BN545" s="79" t="s">
        <v>2696</v>
      </c>
      <c r="BO545" s="79" t="s">
        <v>2697</v>
      </c>
      <c r="BP545" s="79" t="s">
        <v>2698</v>
      </c>
      <c r="BQ545" s="79" t="s">
        <v>2699</v>
      </c>
      <c r="BR545" s="79" t="s">
        <v>2693</v>
      </c>
      <c r="BS545" s="79" t="s">
        <v>2699</v>
      </c>
      <c r="BT545" s="79" t="s">
        <v>2696</v>
      </c>
      <c r="BU545" s="79">
        <v>1</v>
      </c>
      <c r="BV545" s="79" t="s">
        <v>2696</v>
      </c>
      <c r="BW545" s="79" t="s">
        <v>2698</v>
      </c>
      <c r="BX545" s="79" t="s">
        <v>2696</v>
      </c>
      <c r="BY545" s="79" t="s">
        <v>2699</v>
      </c>
      <c r="BZ545" s="79" t="s">
        <v>2699</v>
      </c>
      <c r="CA545" s="79" t="s">
        <v>2693</v>
      </c>
      <c r="CB545" s="79" t="s">
        <v>2699</v>
      </c>
      <c r="CC545" s="79" t="s">
        <v>2699</v>
      </c>
      <c r="CD545" s="79" t="s">
        <v>2696</v>
      </c>
      <c r="CF545" s="81" t="s">
        <v>4065</v>
      </c>
      <c r="CG545" s="81" t="s">
        <v>4066</v>
      </c>
      <c r="CH545" s="79" t="s">
        <v>2693</v>
      </c>
      <c r="CI545" s="79" t="s">
        <v>2076</v>
      </c>
      <c r="CJ545" s="79" t="s">
        <v>2701</v>
      </c>
      <c r="CK545" s="145">
        <v>0</v>
      </c>
      <c r="CL545"/>
    </row>
    <row r="546" spans="1:90" s="79" customFormat="1">
      <c r="A546" s="79" t="s">
        <v>3586</v>
      </c>
      <c r="B546" s="79" t="s">
        <v>4043</v>
      </c>
      <c r="D546" s="79" t="s">
        <v>688</v>
      </c>
      <c r="E546" s="79" t="s">
        <v>4043</v>
      </c>
      <c r="F546" s="79" t="s">
        <v>3587</v>
      </c>
      <c r="G546" s="79" t="s">
        <v>2446</v>
      </c>
      <c r="H546" s="79" t="s">
        <v>1201</v>
      </c>
      <c r="I546" s="79" t="s">
        <v>1202</v>
      </c>
      <c r="J546" s="79" t="s">
        <v>1203</v>
      </c>
      <c r="K546" s="79" t="s">
        <v>565</v>
      </c>
      <c r="L546" s="79" t="s">
        <v>398</v>
      </c>
      <c r="M546" s="79" t="s">
        <v>399</v>
      </c>
      <c r="N546" s="79" t="s">
        <v>1909</v>
      </c>
      <c r="O546" s="79" t="s">
        <v>106</v>
      </c>
      <c r="P546" s="79">
        <v>4</v>
      </c>
      <c r="Q546" s="79" t="s">
        <v>106</v>
      </c>
      <c r="R546" s="79" t="s">
        <v>2727</v>
      </c>
      <c r="S546" s="79" t="s">
        <v>2764</v>
      </c>
      <c r="T546" s="79" t="s">
        <v>2703</v>
      </c>
      <c r="U546" s="79" t="s">
        <v>401</v>
      </c>
      <c r="V546" s="97"/>
      <c r="W546" s="97"/>
      <c r="X546" s="97"/>
      <c r="Y546" s="97"/>
      <c r="Z546" s="97"/>
      <c r="AA546" s="97"/>
      <c r="AB546" s="97"/>
      <c r="AC546" s="79" t="s">
        <v>401</v>
      </c>
      <c r="AD546" s="79">
        <v>252000</v>
      </c>
      <c r="AF546" s="79">
        <v>0</v>
      </c>
      <c r="AJ546" s="79">
        <v>1</v>
      </c>
      <c r="AK546" s="79">
        <v>1</v>
      </c>
      <c r="AL546" s="79">
        <v>2774</v>
      </c>
      <c r="AM546" s="79" t="s">
        <v>2693</v>
      </c>
      <c r="BK546" s="79" t="s">
        <v>2694</v>
      </c>
      <c r="BL546" s="79" t="s">
        <v>2704</v>
      </c>
      <c r="BM546" s="79" t="s">
        <v>2698</v>
      </c>
      <c r="BN546" s="79" t="s">
        <v>2696</v>
      </c>
      <c r="BO546" s="79" t="s">
        <v>2697</v>
      </c>
      <c r="BP546" s="79" t="s">
        <v>2698</v>
      </c>
      <c r="BQ546" s="79" t="s">
        <v>2699</v>
      </c>
      <c r="BR546" s="79" t="s">
        <v>2693</v>
      </c>
      <c r="BS546" s="79" t="s">
        <v>2699</v>
      </c>
      <c r="BT546" s="79" t="s">
        <v>2696</v>
      </c>
      <c r="BU546" s="79">
        <v>1</v>
      </c>
      <c r="BV546" s="79" t="s">
        <v>2696</v>
      </c>
      <c r="BW546" s="79" t="s">
        <v>2698</v>
      </c>
      <c r="BX546" s="79" t="s">
        <v>2696</v>
      </c>
      <c r="BY546" s="79" t="s">
        <v>2699</v>
      </c>
      <c r="BZ546" s="79" t="s">
        <v>2699</v>
      </c>
      <c r="CA546" s="79" t="s">
        <v>2693</v>
      </c>
      <c r="CB546" s="79" t="s">
        <v>2699</v>
      </c>
      <c r="CC546" s="79" t="s">
        <v>2699</v>
      </c>
      <c r="CD546" s="79" t="s">
        <v>2696</v>
      </c>
      <c r="CF546" s="81" t="s">
        <v>4067</v>
      </c>
      <c r="CG546" s="81" t="s">
        <v>4068</v>
      </c>
      <c r="CH546" s="79" t="s">
        <v>2693</v>
      </c>
      <c r="CI546" s="79" t="s">
        <v>2076</v>
      </c>
      <c r="CJ546" s="79" t="s">
        <v>2701</v>
      </c>
      <c r="CK546" s="145">
        <v>0</v>
      </c>
      <c r="CL546"/>
    </row>
    <row r="547" spans="1:90" s="79" customFormat="1">
      <c r="A547" s="79" t="s">
        <v>3580</v>
      </c>
      <c r="B547" s="79" t="s">
        <v>4043</v>
      </c>
      <c r="D547" s="79" t="s">
        <v>688</v>
      </c>
      <c r="E547" s="79" t="s">
        <v>4043</v>
      </c>
      <c r="F547" s="79" t="s">
        <v>3581</v>
      </c>
      <c r="G547" s="79" t="s">
        <v>2446</v>
      </c>
      <c r="H547" s="79" t="s">
        <v>1201</v>
      </c>
      <c r="I547" s="79" t="s">
        <v>1202</v>
      </c>
      <c r="J547" s="79" t="s">
        <v>1203</v>
      </c>
      <c r="K547" s="79" t="s">
        <v>565</v>
      </c>
      <c r="L547" s="79" t="s">
        <v>398</v>
      </c>
      <c r="M547" s="79" t="s">
        <v>399</v>
      </c>
      <c r="N547" s="79" t="s">
        <v>1909</v>
      </c>
      <c r="O547" s="79" t="s">
        <v>106</v>
      </c>
      <c r="P547" s="79">
        <v>4</v>
      </c>
      <c r="Q547" s="79" t="s">
        <v>106</v>
      </c>
      <c r="R547" s="79" t="s">
        <v>2727</v>
      </c>
      <c r="S547" s="79" t="s">
        <v>2764</v>
      </c>
      <c r="T547" s="79" t="s">
        <v>2703</v>
      </c>
      <c r="U547" s="79" t="s">
        <v>401</v>
      </c>
      <c r="V547" s="97"/>
      <c r="W547" s="97"/>
      <c r="X547" s="97"/>
      <c r="Y547" s="97"/>
      <c r="Z547" s="97"/>
      <c r="AA547" s="97"/>
      <c r="AB547" s="97"/>
      <c r="AC547" s="79" t="s">
        <v>401</v>
      </c>
      <c r="AD547" s="79">
        <v>252000</v>
      </c>
      <c r="AF547" s="79">
        <v>0</v>
      </c>
      <c r="AJ547" s="79">
        <v>1</v>
      </c>
      <c r="AK547" s="79">
        <v>1</v>
      </c>
      <c r="AL547" s="79">
        <v>2774</v>
      </c>
      <c r="AM547" s="79" t="s">
        <v>2693</v>
      </c>
      <c r="BK547" s="79" t="s">
        <v>2694</v>
      </c>
      <c r="BL547" s="79" t="s">
        <v>2704</v>
      </c>
      <c r="BM547" s="79" t="s">
        <v>2698</v>
      </c>
      <c r="BN547" s="79" t="s">
        <v>2696</v>
      </c>
      <c r="BO547" s="79" t="s">
        <v>2697</v>
      </c>
      <c r="BP547" s="79" t="s">
        <v>2698</v>
      </c>
      <c r="BQ547" s="79" t="s">
        <v>2699</v>
      </c>
      <c r="BR547" s="79" t="s">
        <v>2693</v>
      </c>
      <c r="BS547" s="79" t="s">
        <v>2699</v>
      </c>
      <c r="BT547" s="79" t="s">
        <v>2696</v>
      </c>
      <c r="BU547" s="79">
        <v>1</v>
      </c>
      <c r="BV547" s="79" t="s">
        <v>2696</v>
      </c>
      <c r="BW547" s="79" t="s">
        <v>2698</v>
      </c>
      <c r="BX547" s="79" t="s">
        <v>2696</v>
      </c>
      <c r="BY547" s="79" t="s">
        <v>2699</v>
      </c>
      <c r="BZ547" s="79" t="s">
        <v>2699</v>
      </c>
      <c r="CA547" s="79" t="s">
        <v>2693</v>
      </c>
      <c r="CB547" s="79" t="s">
        <v>2699</v>
      </c>
      <c r="CC547" s="79" t="s">
        <v>2699</v>
      </c>
      <c r="CD547" s="79" t="s">
        <v>2696</v>
      </c>
      <c r="CF547" s="81" t="s">
        <v>4062</v>
      </c>
      <c r="CG547" s="81" t="s">
        <v>4019</v>
      </c>
      <c r="CH547" s="79" t="s">
        <v>2693</v>
      </c>
      <c r="CI547" s="79" t="s">
        <v>2076</v>
      </c>
      <c r="CJ547" s="79" t="s">
        <v>2701</v>
      </c>
      <c r="CK547" s="145">
        <v>0</v>
      </c>
      <c r="CL547"/>
    </row>
    <row r="548" spans="1:90" s="79" customFormat="1">
      <c r="A548" s="79" t="s">
        <v>3588</v>
      </c>
      <c r="B548" s="79" t="s">
        <v>4043</v>
      </c>
      <c r="D548" s="79" t="s">
        <v>688</v>
      </c>
      <c r="E548" s="79" t="s">
        <v>4043</v>
      </c>
      <c r="F548" s="79" t="s">
        <v>3589</v>
      </c>
      <c r="G548" s="79" t="s">
        <v>2446</v>
      </c>
      <c r="H548" s="79" t="s">
        <v>1201</v>
      </c>
      <c r="I548" s="79" t="s">
        <v>1202</v>
      </c>
      <c r="J548" s="79" t="s">
        <v>1203</v>
      </c>
      <c r="K548" s="79" t="s">
        <v>565</v>
      </c>
      <c r="L548" s="79" t="s">
        <v>398</v>
      </c>
      <c r="M548" s="79" t="s">
        <v>399</v>
      </c>
      <c r="N548" s="79" t="s">
        <v>1909</v>
      </c>
      <c r="O548" s="79" t="s">
        <v>106</v>
      </c>
      <c r="P548" s="79">
        <v>4</v>
      </c>
      <c r="Q548" s="79" t="s">
        <v>106</v>
      </c>
      <c r="R548" s="79" t="s">
        <v>2727</v>
      </c>
      <c r="S548" s="79" t="s">
        <v>2764</v>
      </c>
      <c r="T548" s="79" t="s">
        <v>2703</v>
      </c>
      <c r="U548" s="79" t="s">
        <v>401</v>
      </c>
      <c r="V548" s="97"/>
      <c r="W548" s="97"/>
      <c r="X548" s="97"/>
      <c r="Y548" s="97"/>
      <c r="Z548" s="97"/>
      <c r="AA548" s="97"/>
      <c r="AB548" s="97"/>
      <c r="AC548" s="79" t="s">
        <v>401</v>
      </c>
      <c r="AD548" s="79">
        <v>252000</v>
      </c>
      <c r="AF548" s="79">
        <v>0</v>
      </c>
      <c r="AJ548" s="79">
        <v>1</v>
      </c>
      <c r="AK548" s="79">
        <v>1</v>
      </c>
      <c r="AL548" s="79">
        <v>2774</v>
      </c>
      <c r="AM548" s="79" t="s">
        <v>2693</v>
      </c>
      <c r="BK548" s="79" t="s">
        <v>2694</v>
      </c>
      <c r="BL548" s="79" t="s">
        <v>2704</v>
      </c>
      <c r="BM548" s="79" t="s">
        <v>2698</v>
      </c>
      <c r="BN548" s="79" t="s">
        <v>2696</v>
      </c>
      <c r="BO548" s="79" t="s">
        <v>2697</v>
      </c>
      <c r="BP548" s="79" t="s">
        <v>2698</v>
      </c>
      <c r="BQ548" s="79" t="s">
        <v>2699</v>
      </c>
      <c r="BR548" s="79" t="s">
        <v>2693</v>
      </c>
      <c r="BS548" s="79" t="s">
        <v>2699</v>
      </c>
      <c r="BT548" s="79" t="s">
        <v>2696</v>
      </c>
      <c r="BU548" s="79">
        <v>1</v>
      </c>
      <c r="BV548" s="79" t="s">
        <v>2696</v>
      </c>
      <c r="BW548" s="79" t="s">
        <v>2698</v>
      </c>
      <c r="BX548" s="79" t="s">
        <v>2696</v>
      </c>
      <c r="BY548" s="79" t="s">
        <v>2699</v>
      </c>
      <c r="BZ548" s="79" t="s">
        <v>2699</v>
      </c>
      <c r="CA548" s="79" t="s">
        <v>2693</v>
      </c>
      <c r="CB548" s="79" t="s">
        <v>2699</v>
      </c>
      <c r="CC548" s="79" t="s">
        <v>2699</v>
      </c>
      <c r="CD548" s="79" t="s">
        <v>2696</v>
      </c>
      <c r="CF548" s="81" t="s">
        <v>4069</v>
      </c>
      <c r="CG548" s="81" t="s">
        <v>4070</v>
      </c>
      <c r="CH548" s="79" t="s">
        <v>2693</v>
      </c>
      <c r="CI548" s="79" t="s">
        <v>2076</v>
      </c>
      <c r="CJ548" s="79" t="s">
        <v>2701</v>
      </c>
      <c r="CK548" s="145">
        <v>0</v>
      </c>
      <c r="CL548"/>
    </row>
    <row r="549" spans="1:90" s="79" customFormat="1">
      <c r="A549" s="79" t="s">
        <v>3621</v>
      </c>
      <c r="B549" s="79" t="s">
        <v>4043</v>
      </c>
      <c r="D549" s="79" t="s">
        <v>688</v>
      </c>
      <c r="E549" s="79" t="s">
        <v>4043</v>
      </c>
      <c r="F549" s="79" t="s">
        <v>3622</v>
      </c>
      <c r="G549" s="79" t="s">
        <v>2446</v>
      </c>
      <c r="H549" s="79" t="s">
        <v>1201</v>
      </c>
      <c r="I549" s="79" t="s">
        <v>1202</v>
      </c>
      <c r="J549" s="79" t="s">
        <v>1203</v>
      </c>
      <c r="K549" s="79" t="s">
        <v>565</v>
      </c>
      <c r="L549" s="79" t="s">
        <v>398</v>
      </c>
      <c r="M549" s="79" t="s">
        <v>399</v>
      </c>
      <c r="N549" s="79" t="s">
        <v>1909</v>
      </c>
      <c r="O549" s="79" t="s">
        <v>106</v>
      </c>
      <c r="P549" s="79">
        <v>4</v>
      </c>
      <c r="Q549" s="79" t="s">
        <v>106</v>
      </c>
      <c r="R549" s="79" t="s">
        <v>2727</v>
      </c>
      <c r="S549" s="79" t="s">
        <v>2764</v>
      </c>
      <c r="T549" s="79" t="s">
        <v>2703</v>
      </c>
      <c r="U549" s="79" t="s">
        <v>401</v>
      </c>
      <c r="V549" s="97"/>
      <c r="W549" s="97"/>
      <c r="X549" s="97"/>
      <c r="Y549" s="97"/>
      <c r="Z549" s="97"/>
      <c r="AA549" s="97"/>
      <c r="AB549" s="97"/>
      <c r="AC549" s="79" t="s">
        <v>401</v>
      </c>
      <c r="AD549" s="79">
        <v>252000</v>
      </c>
      <c r="AF549" s="79">
        <v>0</v>
      </c>
      <c r="AJ549" s="79">
        <v>1</v>
      </c>
      <c r="AK549" s="79">
        <v>1</v>
      </c>
      <c r="AL549" s="79">
        <v>2774</v>
      </c>
      <c r="AM549" s="79" t="s">
        <v>2693</v>
      </c>
      <c r="BK549" s="79" t="s">
        <v>2694</v>
      </c>
      <c r="BL549" s="79" t="s">
        <v>2704</v>
      </c>
      <c r="BM549" s="79" t="s">
        <v>2698</v>
      </c>
      <c r="BN549" s="79" t="s">
        <v>2696</v>
      </c>
      <c r="BO549" s="79" t="s">
        <v>2697</v>
      </c>
      <c r="BP549" s="79" t="s">
        <v>2698</v>
      </c>
      <c r="BQ549" s="79" t="s">
        <v>2699</v>
      </c>
      <c r="BR549" s="79" t="s">
        <v>2693</v>
      </c>
      <c r="BS549" s="79" t="s">
        <v>2699</v>
      </c>
      <c r="BT549" s="79" t="s">
        <v>2696</v>
      </c>
      <c r="BU549" s="79">
        <v>1</v>
      </c>
      <c r="BV549" s="79" t="s">
        <v>2696</v>
      </c>
      <c r="BW549" s="79" t="s">
        <v>2698</v>
      </c>
      <c r="BX549" s="79" t="s">
        <v>2696</v>
      </c>
      <c r="BY549" s="79" t="s">
        <v>2699</v>
      </c>
      <c r="BZ549" s="79" t="s">
        <v>2699</v>
      </c>
      <c r="CA549" s="79" t="s">
        <v>2693</v>
      </c>
      <c r="CB549" s="79" t="s">
        <v>2699</v>
      </c>
      <c r="CC549" s="79" t="s">
        <v>2699</v>
      </c>
      <c r="CD549" s="79" t="s">
        <v>2696</v>
      </c>
      <c r="CF549" s="81" t="s">
        <v>4096</v>
      </c>
      <c r="CG549" s="81" t="s">
        <v>4097</v>
      </c>
      <c r="CH549" s="79" t="s">
        <v>2693</v>
      </c>
      <c r="CI549" s="79" t="s">
        <v>2076</v>
      </c>
      <c r="CJ549" s="79" t="s">
        <v>2701</v>
      </c>
      <c r="CK549" s="145">
        <v>0</v>
      </c>
      <c r="CL549"/>
    </row>
    <row r="550" spans="1:90" s="79" customFormat="1">
      <c r="A550" s="79" t="s">
        <v>3590</v>
      </c>
      <c r="B550" s="79" t="s">
        <v>4043</v>
      </c>
      <c r="D550" s="79" t="s">
        <v>688</v>
      </c>
      <c r="E550" s="79" t="s">
        <v>4043</v>
      </c>
      <c r="F550" s="79" t="s">
        <v>3591</v>
      </c>
      <c r="G550" s="79" t="s">
        <v>2443</v>
      </c>
      <c r="H550" s="79" t="s">
        <v>1201</v>
      </c>
      <c r="I550" s="79" t="s">
        <v>1202</v>
      </c>
      <c r="J550" s="79" t="s">
        <v>1203</v>
      </c>
      <c r="K550" s="79" t="s">
        <v>565</v>
      </c>
      <c r="L550" s="79" t="s">
        <v>398</v>
      </c>
      <c r="M550" s="79" t="s">
        <v>399</v>
      </c>
      <c r="N550" s="79" t="s">
        <v>1909</v>
      </c>
      <c r="O550" s="79" t="s">
        <v>106</v>
      </c>
      <c r="P550" s="79">
        <v>4</v>
      </c>
      <c r="Q550" s="79" t="s">
        <v>106</v>
      </c>
      <c r="R550" s="79" t="s">
        <v>2727</v>
      </c>
      <c r="S550" s="79" t="s">
        <v>2764</v>
      </c>
      <c r="T550" s="79" t="s">
        <v>2703</v>
      </c>
      <c r="U550" s="79" t="s">
        <v>401</v>
      </c>
      <c r="V550" s="97"/>
      <c r="W550" s="97"/>
      <c r="X550" s="97"/>
      <c r="Y550" s="97"/>
      <c r="Z550" s="97"/>
      <c r="AA550" s="97"/>
      <c r="AB550" s="97"/>
      <c r="AC550" s="79" t="s">
        <v>401</v>
      </c>
      <c r="AD550" s="79">
        <v>252000</v>
      </c>
      <c r="AF550" s="79">
        <v>0</v>
      </c>
      <c r="AJ550" s="79">
        <v>1</v>
      </c>
      <c r="AK550" s="79">
        <v>1</v>
      </c>
      <c r="AL550" s="79">
        <v>2774</v>
      </c>
      <c r="AM550" s="79" t="s">
        <v>2693</v>
      </c>
      <c r="BK550" s="79" t="s">
        <v>2694</v>
      </c>
      <c r="BL550" s="79" t="s">
        <v>2704</v>
      </c>
      <c r="BM550" s="79" t="s">
        <v>2698</v>
      </c>
      <c r="BN550" s="79" t="s">
        <v>2696</v>
      </c>
      <c r="BO550" s="79" t="s">
        <v>2697</v>
      </c>
      <c r="BP550" s="79" t="s">
        <v>2698</v>
      </c>
      <c r="BQ550" s="79" t="s">
        <v>2699</v>
      </c>
      <c r="BR550" s="79" t="s">
        <v>2693</v>
      </c>
      <c r="BS550" s="79" t="s">
        <v>2699</v>
      </c>
      <c r="BT550" s="79" t="s">
        <v>2696</v>
      </c>
      <c r="BU550" s="79">
        <v>1</v>
      </c>
      <c r="BV550" s="79" t="s">
        <v>2696</v>
      </c>
      <c r="BW550" s="79" t="s">
        <v>2698</v>
      </c>
      <c r="BX550" s="79" t="s">
        <v>2696</v>
      </c>
      <c r="BY550" s="79" t="s">
        <v>2699</v>
      </c>
      <c r="BZ550" s="79" t="s">
        <v>2699</v>
      </c>
      <c r="CA550" s="79" t="s">
        <v>2693</v>
      </c>
      <c r="CB550" s="79" t="s">
        <v>2699</v>
      </c>
      <c r="CC550" s="79" t="s">
        <v>2699</v>
      </c>
      <c r="CD550" s="79" t="s">
        <v>2696</v>
      </c>
      <c r="CF550" s="81" t="s">
        <v>4071</v>
      </c>
      <c r="CG550" s="81" t="s">
        <v>4072</v>
      </c>
      <c r="CH550" s="79" t="s">
        <v>2693</v>
      </c>
      <c r="CI550" s="79" t="s">
        <v>2076</v>
      </c>
      <c r="CJ550" s="79" t="s">
        <v>2701</v>
      </c>
      <c r="CK550" s="145">
        <v>0</v>
      </c>
      <c r="CL550"/>
    </row>
    <row r="551" spans="1:90" s="79" customFormat="1">
      <c r="A551" s="79" t="s">
        <v>3592</v>
      </c>
      <c r="B551" s="79" t="s">
        <v>4043</v>
      </c>
      <c r="D551" s="79" t="s">
        <v>688</v>
      </c>
      <c r="E551" s="79" t="s">
        <v>4043</v>
      </c>
      <c r="F551" s="79" t="s">
        <v>3593</v>
      </c>
      <c r="G551" s="79" t="s">
        <v>2443</v>
      </c>
      <c r="H551" s="79" t="s">
        <v>1201</v>
      </c>
      <c r="I551" s="79" t="s">
        <v>1202</v>
      </c>
      <c r="J551" s="79" t="s">
        <v>1203</v>
      </c>
      <c r="K551" s="79" t="s">
        <v>565</v>
      </c>
      <c r="L551" s="79" t="s">
        <v>398</v>
      </c>
      <c r="M551" s="79" t="s">
        <v>399</v>
      </c>
      <c r="N551" s="79" t="s">
        <v>1909</v>
      </c>
      <c r="O551" s="79" t="s">
        <v>106</v>
      </c>
      <c r="P551" s="79">
        <v>4</v>
      </c>
      <c r="Q551" s="79" t="s">
        <v>106</v>
      </c>
      <c r="R551" s="79" t="s">
        <v>2727</v>
      </c>
      <c r="S551" s="79" t="s">
        <v>2764</v>
      </c>
      <c r="T551" s="79" t="s">
        <v>2703</v>
      </c>
      <c r="U551" s="79" t="s">
        <v>401</v>
      </c>
      <c r="V551" s="97"/>
      <c r="W551" s="97"/>
      <c r="X551" s="97"/>
      <c r="Y551" s="97"/>
      <c r="Z551" s="97"/>
      <c r="AA551" s="97"/>
      <c r="AB551" s="97"/>
      <c r="AC551" s="79" t="s">
        <v>401</v>
      </c>
      <c r="AD551" s="79">
        <v>252000</v>
      </c>
      <c r="AF551" s="79">
        <v>0</v>
      </c>
      <c r="AJ551" s="79">
        <v>1</v>
      </c>
      <c r="AK551" s="79">
        <v>1</v>
      </c>
      <c r="AL551" s="79">
        <v>2774</v>
      </c>
      <c r="AM551" s="79" t="s">
        <v>2693</v>
      </c>
      <c r="BK551" s="79" t="s">
        <v>2694</v>
      </c>
      <c r="BL551" s="79" t="s">
        <v>2704</v>
      </c>
      <c r="BM551" s="79" t="s">
        <v>2698</v>
      </c>
      <c r="BN551" s="79" t="s">
        <v>2696</v>
      </c>
      <c r="BO551" s="79" t="s">
        <v>2697</v>
      </c>
      <c r="BP551" s="79" t="s">
        <v>2698</v>
      </c>
      <c r="BQ551" s="79" t="s">
        <v>2699</v>
      </c>
      <c r="BR551" s="79" t="s">
        <v>2693</v>
      </c>
      <c r="BS551" s="79" t="s">
        <v>2699</v>
      </c>
      <c r="BT551" s="79" t="s">
        <v>2696</v>
      </c>
      <c r="BU551" s="79">
        <v>1</v>
      </c>
      <c r="BV551" s="79" t="s">
        <v>2696</v>
      </c>
      <c r="BW551" s="79" t="s">
        <v>2698</v>
      </c>
      <c r="BX551" s="79" t="s">
        <v>2696</v>
      </c>
      <c r="BY551" s="79" t="s">
        <v>2699</v>
      </c>
      <c r="BZ551" s="79" t="s">
        <v>2699</v>
      </c>
      <c r="CA551" s="79" t="s">
        <v>2693</v>
      </c>
      <c r="CB551" s="79" t="s">
        <v>2699</v>
      </c>
      <c r="CC551" s="79" t="s">
        <v>2699</v>
      </c>
      <c r="CD551" s="79" t="s">
        <v>2696</v>
      </c>
      <c r="CF551" s="81" t="s">
        <v>4060</v>
      </c>
      <c r="CG551" s="81" t="s">
        <v>4073</v>
      </c>
      <c r="CH551" s="79" t="s">
        <v>2693</v>
      </c>
      <c r="CI551" s="79" t="s">
        <v>2076</v>
      </c>
      <c r="CJ551" s="79" t="s">
        <v>2701</v>
      </c>
      <c r="CK551" s="145">
        <v>0</v>
      </c>
      <c r="CL551"/>
    </row>
    <row r="552" spans="1:90" s="79" customFormat="1">
      <c r="A552" s="79" t="s">
        <v>3594</v>
      </c>
      <c r="B552" s="79" t="s">
        <v>4043</v>
      </c>
      <c r="D552" s="79" t="s">
        <v>688</v>
      </c>
      <c r="E552" s="79" t="s">
        <v>4043</v>
      </c>
      <c r="F552" s="79" t="s">
        <v>3595</v>
      </c>
      <c r="G552" s="79" t="s">
        <v>2443</v>
      </c>
      <c r="H552" s="79" t="s">
        <v>1201</v>
      </c>
      <c r="I552" s="79" t="s">
        <v>1202</v>
      </c>
      <c r="J552" s="79" t="s">
        <v>1203</v>
      </c>
      <c r="K552" s="79" t="s">
        <v>565</v>
      </c>
      <c r="L552" s="79" t="s">
        <v>398</v>
      </c>
      <c r="M552" s="79" t="s">
        <v>399</v>
      </c>
      <c r="N552" s="79" t="s">
        <v>1909</v>
      </c>
      <c r="O552" s="79" t="s">
        <v>106</v>
      </c>
      <c r="P552" s="79">
        <v>4</v>
      </c>
      <c r="Q552" s="79" t="s">
        <v>106</v>
      </c>
      <c r="R552" s="79" t="s">
        <v>2727</v>
      </c>
      <c r="S552" s="79" t="s">
        <v>2764</v>
      </c>
      <c r="T552" s="79" t="s">
        <v>2703</v>
      </c>
      <c r="U552" s="79" t="s">
        <v>401</v>
      </c>
      <c r="V552" s="97"/>
      <c r="W552" s="97"/>
      <c r="X552" s="97"/>
      <c r="Y552" s="97"/>
      <c r="Z552" s="97"/>
      <c r="AA552" s="97"/>
      <c r="AB552" s="97"/>
      <c r="AC552" s="79" t="s">
        <v>401</v>
      </c>
      <c r="AD552" s="79">
        <v>252000</v>
      </c>
      <c r="AF552" s="79">
        <v>0</v>
      </c>
      <c r="AJ552" s="79">
        <v>1</v>
      </c>
      <c r="AK552" s="79">
        <v>1</v>
      </c>
      <c r="AL552" s="79">
        <v>2774</v>
      </c>
      <c r="AM552" s="79" t="s">
        <v>2693</v>
      </c>
      <c r="BK552" s="79" t="s">
        <v>2694</v>
      </c>
      <c r="BL552" s="79" t="s">
        <v>2704</v>
      </c>
      <c r="BM552" s="79" t="s">
        <v>2698</v>
      </c>
      <c r="BN552" s="79" t="s">
        <v>2696</v>
      </c>
      <c r="BO552" s="79" t="s">
        <v>2697</v>
      </c>
      <c r="BP552" s="79" t="s">
        <v>2698</v>
      </c>
      <c r="BQ552" s="79" t="s">
        <v>2699</v>
      </c>
      <c r="BR552" s="79" t="s">
        <v>2693</v>
      </c>
      <c r="BS552" s="79" t="s">
        <v>2699</v>
      </c>
      <c r="BT552" s="79" t="s">
        <v>2696</v>
      </c>
      <c r="BU552" s="79">
        <v>1</v>
      </c>
      <c r="BV552" s="79" t="s">
        <v>2696</v>
      </c>
      <c r="BW552" s="79" t="s">
        <v>2698</v>
      </c>
      <c r="BX552" s="79" t="s">
        <v>2696</v>
      </c>
      <c r="BY552" s="79" t="s">
        <v>2699</v>
      </c>
      <c r="BZ552" s="79" t="s">
        <v>2699</v>
      </c>
      <c r="CA552" s="79" t="s">
        <v>2693</v>
      </c>
      <c r="CB552" s="79" t="s">
        <v>2699</v>
      </c>
      <c r="CC552" s="79" t="s">
        <v>2699</v>
      </c>
      <c r="CD552" s="79" t="s">
        <v>2696</v>
      </c>
      <c r="CF552" s="81" t="s">
        <v>4074</v>
      </c>
      <c r="CG552" s="81" t="s">
        <v>2466</v>
      </c>
      <c r="CH552" s="79" t="s">
        <v>2693</v>
      </c>
      <c r="CI552" s="79" t="s">
        <v>2076</v>
      </c>
      <c r="CJ552" s="79" t="s">
        <v>2701</v>
      </c>
      <c r="CK552" s="145">
        <v>0</v>
      </c>
      <c r="CL552"/>
    </row>
    <row r="553" spans="1:90" s="79" customFormat="1">
      <c r="A553" s="79" t="s">
        <v>3569</v>
      </c>
      <c r="B553" s="79" t="s">
        <v>4029</v>
      </c>
      <c r="D553" s="79" t="s">
        <v>688</v>
      </c>
      <c r="E553" s="79" t="s">
        <v>4029</v>
      </c>
      <c r="F553" s="79" t="s">
        <v>3570</v>
      </c>
      <c r="G553" s="79" t="s">
        <v>2443</v>
      </c>
      <c r="H553" s="79" t="s">
        <v>1201</v>
      </c>
      <c r="I553" s="79" t="s">
        <v>1202</v>
      </c>
      <c r="J553" s="79" t="s">
        <v>1203</v>
      </c>
      <c r="K553" s="79" t="s">
        <v>565</v>
      </c>
      <c r="L553" s="79" t="s">
        <v>398</v>
      </c>
      <c r="M553" s="79" t="s">
        <v>399</v>
      </c>
      <c r="N553" s="79" t="s">
        <v>1909</v>
      </c>
      <c r="O553" s="79" t="s">
        <v>106</v>
      </c>
      <c r="P553" s="79">
        <v>4</v>
      </c>
      <c r="Q553" s="79" t="s">
        <v>106</v>
      </c>
      <c r="R553" s="79" t="s">
        <v>2727</v>
      </c>
      <c r="S553" s="79" t="s">
        <v>2764</v>
      </c>
      <c r="T553" s="79" t="s">
        <v>2703</v>
      </c>
      <c r="U553" s="79" t="s">
        <v>401</v>
      </c>
      <c r="V553" s="97"/>
      <c r="W553" s="97"/>
      <c r="X553" s="97"/>
      <c r="Y553" s="97"/>
      <c r="Z553" s="97"/>
      <c r="AA553" s="97"/>
      <c r="AB553" s="97"/>
      <c r="AC553" s="79" t="s">
        <v>401</v>
      </c>
      <c r="AD553" s="79">
        <v>252000</v>
      </c>
      <c r="AF553" s="79">
        <v>0</v>
      </c>
      <c r="AJ553" s="79">
        <v>1</v>
      </c>
      <c r="AK553" s="79">
        <v>1</v>
      </c>
      <c r="AL553" s="79">
        <v>2774</v>
      </c>
      <c r="AM553" s="79" t="s">
        <v>2693</v>
      </c>
      <c r="BK553" s="79" t="s">
        <v>2694</v>
      </c>
      <c r="BL553" s="79" t="s">
        <v>2704</v>
      </c>
      <c r="BM553" s="79" t="s">
        <v>2698</v>
      </c>
      <c r="BN553" s="79" t="s">
        <v>2696</v>
      </c>
      <c r="BO553" s="79" t="s">
        <v>2697</v>
      </c>
      <c r="BP553" s="79" t="s">
        <v>2698</v>
      </c>
      <c r="BQ553" s="79" t="s">
        <v>2699</v>
      </c>
      <c r="BR553" s="79" t="s">
        <v>2693</v>
      </c>
      <c r="BS553" s="79" t="s">
        <v>2699</v>
      </c>
      <c r="BT553" s="79" t="s">
        <v>2696</v>
      </c>
      <c r="BU553" s="79">
        <v>1</v>
      </c>
      <c r="BV553" s="79" t="s">
        <v>2696</v>
      </c>
      <c r="BW553" s="79" t="s">
        <v>2698</v>
      </c>
      <c r="BX553" s="79" t="s">
        <v>2696</v>
      </c>
      <c r="BY553" s="79" t="s">
        <v>2699</v>
      </c>
      <c r="BZ553" s="79" t="s">
        <v>2699</v>
      </c>
      <c r="CA553" s="79" t="s">
        <v>2693</v>
      </c>
      <c r="CB553" s="79" t="s">
        <v>2699</v>
      </c>
      <c r="CC553" s="79" t="s">
        <v>2699</v>
      </c>
      <c r="CD553" s="79" t="s">
        <v>2696</v>
      </c>
      <c r="CF553" s="81" t="s">
        <v>4051</v>
      </c>
      <c r="CG553" s="81" t="s">
        <v>4021</v>
      </c>
      <c r="CH553" s="79" t="s">
        <v>2693</v>
      </c>
      <c r="CI553" s="79" t="s">
        <v>2076</v>
      </c>
      <c r="CJ553" s="79" t="s">
        <v>2701</v>
      </c>
      <c r="CK553" s="145">
        <v>0</v>
      </c>
      <c r="CL553"/>
    </row>
    <row r="554" spans="1:90" s="79" customFormat="1">
      <c r="A554" s="79" t="s">
        <v>3627</v>
      </c>
      <c r="B554" s="79" t="s">
        <v>4043</v>
      </c>
      <c r="D554" s="79" t="s">
        <v>688</v>
      </c>
      <c r="E554" s="79" t="s">
        <v>4043</v>
      </c>
      <c r="F554" s="79" t="s">
        <v>3628</v>
      </c>
      <c r="G554" s="79" t="s">
        <v>2443</v>
      </c>
      <c r="H554" s="79" t="s">
        <v>1201</v>
      </c>
      <c r="I554" s="79" t="s">
        <v>1202</v>
      </c>
      <c r="J554" s="79" t="s">
        <v>1203</v>
      </c>
      <c r="K554" s="79" t="s">
        <v>565</v>
      </c>
      <c r="L554" s="79" t="s">
        <v>398</v>
      </c>
      <c r="M554" s="79" t="s">
        <v>399</v>
      </c>
      <c r="N554" s="79" t="s">
        <v>1909</v>
      </c>
      <c r="O554" s="79" t="s">
        <v>106</v>
      </c>
      <c r="P554" s="79">
        <v>4</v>
      </c>
      <c r="Q554" s="79" t="s">
        <v>106</v>
      </c>
      <c r="R554" s="79" t="s">
        <v>2727</v>
      </c>
      <c r="S554" s="79" t="s">
        <v>2764</v>
      </c>
      <c r="T554" s="79" t="s">
        <v>2703</v>
      </c>
      <c r="U554" s="79" t="s">
        <v>401</v>
      </c>
      <c r="V554" s="97"/>
      <c r="W554" s="97"/>
      <c r="X554" s="97"/>
      <c r="Y554" s="97"/>
      <c r="Z554" s="97"/>
      <c r="AA554" s="97"/>
      <c r="AB554" s="97"/>
      <c r="AC554" s="79" t="s">
        <v>401</v>
      </c>
      <c r="AD554" s="79">
        <v>235000</v>
      </c>
      <c r="AF554" s="79">
        <v>0</v>
      </c>
      <c r="AJ554" s="79">
        <v>1</v>
      </c>
      <c r="AK554" s="79">
        <v>1</v>
      </c>
      <c r="AL554" s="79">
        <v>2358</v>
      </c>
      <c r="AM554" s="79" t="s">
        <v>2693</v>
      </c>
      <c r="BK554" s="79" t="s">
        <v>2694</v>
      </c>
      <c r="BL554" s="79" t="s">
        <v>2704</v>
      </c>
      <c r="BM554" s="79" t="s">
        <v>2698</v>
      </c>
      <c r="BN554" s="79" t="s">
        <v>2696</v>
      </c>
      <c r="BO554" s="79" t="s">
        <v>2697</v>
      </c>
      <c r="BP554" s="79" t="s">
        <v>2698</v>
      </c>
      <c r="BQ554" s="79" t="s">
        <v>2699</v>
      </c>
      <c r="BR554" s="79" t="s">
        <v>2693</v>
      </c>
      <c r="BS554" s="79" t="s">
        <v>2699</v>
      </c>
      <c r="BT554" s="79" t="s">
        <v>2696</v>
      </c>
      <c r="BU554" s="79">
        <v>1</v>
      </c>
      <c r="BV554" s="79" t="s">
        <v>2696</v>
      </c>
      <c r="BW554" s="79" t="s">
        <v>2698</v>
      </c>
      <c r="BX554" s="79" t="s">
        <v>2696</v>
      </c>
      <c r="BY554" s="79" t="s">
        <v>2699</v>
      </c>
      <c r="BZ554" s="79" t="s">
        <v>2699</v>
      </c>
      <c r="CA554" s="79" t="s">
        <v>2693</v>
      </c>
      <c r="CB554" s="79" t="s">
        <v>2699</v>
      </c>
      <c r="CC554" s="79" t="s">
        <v>2699</v>
      </c>
      <c r="CD554" s="79" t="s">
        <v>2696</v>
      </c>
      <c r="CF554" s="81" t="s">
        <v>4098</v>
      </c>
      <c r="CG554" s="81" t="s">
        <v>4088</v>
      </c>
      <c r="CH554" s="79" t="s">
        <v>2693</v>
      </c>
      <c r="CI554" s="79" t="s">
        <v>2076</v>
      </c>
      <c r="CJ554" s="79" t="s">
        <v>2701</v>
      </c>
      <c r="CK554" s="145">
        <v>0</v>
      </c>
      <c r="CL554"/>
    </row>
    <row r="555" spans="1:90" s="79" customFormat="1">
      <c r="A555" s="79" t="s">
        <v>3596</v>
      </c>
      <c r="B555" s="79" t="s">
        <v>4043</v>
      </c>
      <c r="D555" s="79" t="s">
        <v>688</v>
      </c>
      <c r="E555" s="79" t="s">
        <v>4043</v>
      </c>
      <c r="F555" s="79" t="s">
        <v>3597</v>
      </c>
      <c r="G555" s="79" t="s">
        <v>2443</v>
      </c>
      <c r="H555" s="79" t="s">
        <v>1201</v>
      </c>
      <c r="I555" s="79" t="s">
        <v>1202</v>
      </c>
      <c r="J555" s="79" t="s">
        <v>1203</v>
      </c>
      <c r="K555" s="79" t="s">
        <v>565</v>
      </c>
      <c r="L555" s="79" t="s">
        <v>398</v>
      </c>
      <c r="M555" s="79" t="s">
        <v>399</v>
      </c>
      <c r="N555" s="79" t="s">
        <v>1909</v>
      </c>
      <c r="O555" s="79" t="s">
        <v>106</v>
      </c>
      <c r="P555" s="79">
        <v>4</v>
      </c>
      <c r="Q555" s="79" t="s">
        <v>106</v>
      </c>
      <c r="R555" s="79" t="s">
        <v>2727</v>
      </c>
      <c r="S555" s="79" t="s">
        <v>2764</v>
      </c>
      <c r="T555" s="79" t="s">
        <v>2703</v>
      </c>
      <c r="U555" s="79" t="s">
        <v>401</v>
      </c>
      <c r="V555" s="97"/>
      <c r="W555" s="97"/>
      <c r="X555" s="97"/>
      <c r="Y555" s="97"/>
      <c r="Z555" s="97"/>
      <c r="AA555" s="97"/>
      <c r="AB555" s="97"/>
      <c r="AC555" s="79" t="s">
        <v>401</v>
      </c>
      <c r="AD555" s="79">
        <v>252000</v>
      </c>
      <c r="AF555" s="79">
        <v>0</v>
      </c>
      <c r="AJ555" s="79">
        <v>1</v>
      </c>
      <c r="AK555" s="79">
        <v>1</v>
      </c>
      <c r="AL555" s="79">
        <v>2774</v>
      </c>
      <c r="AM555" s="79" t="s">
        <v>2693</v>
      </c>
      <c r="BK555" s="79" t="s">
        <v>2694</v>
      </c>
      <c r="BL555" s="79" t="s">
        <v>2704</v>
      </c>
      <c r="BM555" s="79" t="s">
        <v>2698</v>
      </c>
      <c r="BN555" s="79" t="s">
        <v>2696</v>
      </c>
      <c r="BO555" s="79" t="s">
        <v>2697</v>
      </c>
      <c r="BP555" s="79" t="s">
        <v>2698</v>
      </c>
      <c r="BQ555" s="79" t="s">
        <v>2699</v>
      </c>
      <c r="BR555" s="79" t="s">
        <v>2693</v>
      </c>
      <c r="BS555" s="79" t="s">
        <v>2699</v>
      </c>
      <c r="BT555" s="79" t="s">
        <v>2696</v>
      </c>
      <c r="BU555" s="79">
        <v>1</v>
      </c>
      <c r="BV555" s="79" t="s">
        <v>2696</v>
      </c>
      <c r="BW555" s="79" t="s">
        <v>2698</v>
      </c>
      <c r="BX555" s="79" t="s">
        <v>2696</v>
      </c>
      <c r="BY555" s="79" t="s">
        <v>2699</v>
      </c>
      <c r="BZ555" s="79" t="s">
        <v>2699</v>
      </c>
      <c r="CA555" s="79" t="s">
        <v>2693</v>
      </c>
      <c r="CB555" s="79" t="s">
        <v>2699</v>
      </c>
      <c r="CC555" s="79" t="s">
        <v>2699</v>
      </c>
      <c r="CD555" s="79" t="s">
        <v>2696</v>
      </c>
      <c r="CF555" s="81" t="s">
        <v>4075</v>
      </c>
      <c r="CG555" s="81" t="s">
        <v>4046</v>
      </c>
      <c r="CH555" s="79" t="s">
        <v>2693</v>
      </c>
      <c r="CI555" s="79" t="s">
        <v>2076</v>
      </c>
      <c r="CJ555" s="79" t="s">
        <v>2701</v>
      </c>
      <c r="CK555" s="145">
        <v>0</v>
      </c>
      <c r="CL555"/>
    </row>
    <row r="556" spans="1:90" s="79" customFormat="1">
      <c r="A556" s="79" t="s">
        <v>1775</v>
      </c>
      <c r="B556" s="79" t="s">
        <v>4043</v>
      </c>
      <c r="D556" s="79" t="s">
        <v>688</v>
      </c>
      <c r="E556" s="79" t="s">
        <v>4043</v>
      </c>
      <c r="F556" s="79" t="s">
        <v>3598</v>
      </c>
      <c r="G556" s="79" t="s">
        <v>2443</v>
      </c>
      <c r="H556" s="79" t="s">
        <v>1201</v>
      </c>
      <c r="I556" s="79" t="s">
        <v>1202</v>
      </c>
      <c r="J556" s="79" t="s">
        <v>1203</v>
      </c>
      <c r="K556" s="79" t="s">
        <v>565</v>
      </c>
      <c r="L556" s="79" t="s">
        <v>398</v>
      </c>
      <c r="M556" s="79" t="s">
        <v>399</v>
      </c>
      <c r="N556" s="79" t="s">
        <v>1909</v>
      </c>
      <c r="O556" s="79" t="s">
        <v>106</v>
      </c>
      <c r="P556" s="79">
        <v>4</v>
      </c>
      <c r="Q556" s="79" t="s">
        <v>106</v>
      </c>
      <c r="R556" s="79" t="s">
        <v>2727</v>
      </c>
      <c r="S556" s="79" t="s">
        <v>2764</v>
      </c>
      <c r="T556" s="79" t="s">
        <v>2703</v>
      </c>
      <c r="U556" s="79" t="s">
        <v>401</v>
      </c>
      <c r="V556" s="97"/>
      <c r="W556" s="97"/>
      <c r="X556" s="97"/>
      <c r="Y556" s="97"/>
      <c r="Z556" s="97"/>
      <c r="AA556" s="97"/>
      <c r="AB556" s="97"/>
      <c r="AC556" s="79" t="s">
        <v>401</v>
      </c>
      <c r="AD556" s="79">
        <v>252000</v>
      </c>
      <c r="AF556" s="79">
        <v>0</v>
      </c>
      <c r="AJ556" s="79">
        <v>1</v>
      </c>
      <c r="AK556" s="79">
        <v>1</v>
      </c>
      <c r="AL556" s="79">
        <v>2774</v>
      </c>
      <c r="AM556" s="79" t="s">
        <v>2693</v>
      </c>
      <c r="BK556" s="79" t="s">
        <v>2694</v>
      </c>
      <c r="BL556" s="79" t="s">
        <v>2704</v>
      </c>
      <c r="BM556" s="79" t="s">
        <v>2698</v>
      </c>
      <c r="BN556" s="79" t="s">
        <v>2696</v>
      </c>
      <c r="BO556" s="79" t="s">
        <v>2697</v>
      </c>
      <c r="BP556" s="79" t="s">
        <v>2698</v>
      </c>
      <c r="BQ556" s="79" t="s">
        <v>2699</v>
      </c>
      <c r="BR556" s="79" t="s">
        <v>2693</v>
      </c>
      <c r="BS556" s="79" t="s">
        <v>2699</v>
      </c>
      <c r="BT556" s="79" t="s">
        <v>2696</v>
      </c>
      <c r="BU556" s="79">
        <v>1</v>
      </c>
      <c r="BV556" s="79" t="s">
        <v>2696</v>
      </c>
      <c r="BW556" s="79" t="s">
        <v>2698</v>
      </c>
      <c r="BX556" s="79" t="s">
        <v>2696</v>
      </c>
      <c r="BY556" s="79" t="s">
        <v>2699</v>
      </c>
      <c r="BZ556" s="79" t="s">
        <v>2699</v>
      </c>
      <c r="CA556" s="79" t="s">
        <v>2693</v>
      </c>
      <c r="CB556" s="79" t="s">
        <v>2699</v>
      </c>
      <c r="CC556" s="79" t="s">
        <v>2699</v>
      </c>
      <c r="CD556" s="79" t="s">
        <v>2696</v>
      </c>
      <c r="CF556" s="81" t="s">
        <v>4076</v>
      </c>
      <c r="CG556" s="81" t="s">
        <v>4077</v>
      </c>
      <c r="CH556" s="79" t="s">
        <v>2693</v>
      </c>
      <c r="CI556" s="79" t="s">
        <v>2076</v>
      </c>
      <c r="CJ556" s="79" t="s">
        <v>2701</v>
      </c>
      <c r="CK556" s="145">
        <v>0</v>
      </c>
      <c r="CL556"/>
    </row>
    <row r="557" spans="1:90" s="79" customFormat="1">
      <c r="A557" s="79" t="s">
        <v>3629</v>
      </c>
      <c r="B557" s="79" t="s">
        <v>4043</v>
      </c>
      <c r="D557" s="79" t="s">
        <v>688</v>
      </c>
      <c r="E557" s="79" t="s">
        <v>4043</v>
      </c>
      <c r="F557" s="79" t="s">
        <v>3630</v>
      </c>
      <c r="G557" s="79" t="s">
        <v>2443</v>
      </c>
      <c r="H557" s="79" t="s">
        <v>1201</v>
      </c>
      <c r="I557" s="79" t="s">
        <v>1202</v>
      </c>
      <c r="J557" s="79" t="s">
        <v>1203</v>
      </c>
      <c r="K557" s="79" t="s">
        <v>565</v>
      </c>
      <c r="L557" s="79" t="s">
        <v>398</v>
      </c>
      <c r="M557" s="79" t="s">
        <v>399</v>
      </c>
      <c r="N557" s="79" t="s">
        <v>1909</v>
      </c>
      <c r="O557" s="79" t="s">
        <v>106</v>
      </c>
      <c r="P557" s="79">
        <v>4</v>
      </c>
      <c r="Q557" s="79" t="s">
        <v>106</v>
      </c>
      <c r="R557" s="79" t="s">
        <v>2727</v>
      </c>
      <c r="S557" s="79" t="s">
        <v>2764</v>
      </c>
      <c r="T557" s="79" t="s">
        <v>2703</v>
      </c>
      <c r="U557" s="79" t="s">
        <v>401</v>
      </c>
      <c r="V557" s="97"/>
      <c r="W557" s="97"/>
      <c r="X557" s="97"/>
      <c r="Y557" s="97"/>
      <c r="Z557" s="97"/>
      <c r="AA557" s="97"/>
      <c r="AB557" s="97"/>
      <c r="AC557" s="79" t="s">
        <v>401</v>
      </c>
      <c r="AD557" s="79">
        <v>235000</v>
      </c>
      <c r="AF557" s="79">
        <v>0</v>
      </c>
      <c r="AJ557" s="79">
        <v>1</v>
      </c>
      <c r="AK557" s="79">
        <v>1</v>
      </c>
      <c r="AL557" s="79">
        <v>2358</v>
      </c>
      <c r="AM557" s="79" t="s">
        <v>2693</v>
      </c>
      <c r="BK557" s="79" t="s">
        <v>2694</v>
      </c>
      <c r="BL557" s="79" t="s">
        <v>2704</v>
      </c>
      <c r="BM557" s="79" t="s">
        <v>2698</v>
      </c>
      <c r="BN557" s="79" t="s">
        <v>2696</v>
      </c>
      <c r="BO557" s="79" t="s">
        <v>2697</v>
      </c>
      <c r="BP557" s="79" t="s">
        <v>2698</v>
      </c>
      <c r="BQ557" s="79" t="s">
        <v>2699</v>
      </c>
      <c r="BR557" s="79" t="s">
        <v>2693</v>
      </c>
      <c r="BS557" s="79" t="s">
        <v>2699</v>
      </c>
      <c r="BT557" s="79" t="s">
        <v>2696</v>
      </c>
      <c r="BU557" s="79">
        <v>1</v>
      </c>
      <c r="BV557" s="79" t="s">
        <v>2696</v>
      </c>
      <c r="BW557" s="79" t="s">
        <v>2698</v>
      </c>
      <c r="BX557" s="79" t="s">
        <v>2696</v>
      </c>
      <c r="BY557" s="79" t="s">
        <v>2699</v>
      </c>
      <c r="BZ557" s="79" t="s">
        <v>2699</v>
      </c>
      <c r="CA557" s="79" t="s">
        <v>2693</v>
      </c>
      <c r="CB557" s="79" t="s">
        <v>2699</v>
      </c>
      <c r="CC557" s="79" t="s">
        <v>2699</v>
      </c>
      <c r="CD557" s="79" t="s">
        <v>2696</v>
      </c>
      <c r="CF557" s="81" t="s">
        <v>4102</v>
      </c>
      <c r="CG557" s="81" t="s">
        <v>4103</v>
      </c>
      <c r="CH557" s="79" t="s">
        <v>2693</v>
      </c>
      <c r="CI557" s="79" t="s">
        <v>2076</v>
      </c>
      <c r="CJ557" s="79" t="s">
        <v>2701</v>
      </c>
      <c r="CK557" s="145">
        <v>0</v>
      </c>
      <c r="CL557"/>
    </row>
    <row r="558" spans="1:90" s="79" customFormat="1">
      <c r="A558" s="79" t="s">
        <v>3631</v>
      </c>
      <c r="B558" s="79" t="s">
        <v>4043</v>
      </c>
      <c r="D558" s="79" t="s">
        <v>688</v>
      </c>
      <c r="E558" s="79" t="s">
        <v>4043</v>
      </c>
      <c r="F558" s="79" t="s">
        <v>3632</v>
      </c>
      <c r="G558" s="79" t="s">
        <v>2443</v>
      </c>
      <c r="H558" s="79" t="s">
        <v>1201</v>
      </c>
      <c r="I558" s="79" t="s">
        <v>1202</v>
      </c>
      <c r="J558" s="79" t="s">
        <v>1203</v>
      </c>
      <c r="K558" s="79" t="s">
        <v>565</v>
      </c>
      <c r="L558" s="79" t="s">
        <v>398</v>
      </c>
      <c r="M558" s="79" t="s">
        <v>399</v>
      </c>
      <c r="N558" s="79" t="s">
        <v>1909</v>
      </c>
      <c r="O558" s="79" t="s">
        <v>106</v>
      </c>
      <c r="P558" s="79">
        <v>4</v>
      </c>
      <c r="Q558" s="79" t="s">
        <v>106</v>
      </c>
      <c r="R558" s="79" t="s">
        <v>2727</v>
      </c>
      <c r="S558" s="79" t="s">
        <v>2764</v>
      </c>
      <c r="T558" s="79" t="s">
        <v>2703</v>
      </c>
      <c r="U558" s="79" t="s">
        <v>401</v>
      </c>
      <c r="V558" s="97"/>
      <c r="W558" s="97"/>
      <c r="X558" s="97"/>
      <c r="Y558" s="97"/>
      <c r="Z558" s="97"/>
      <c r="AA558" s="97"/>
      <c r="AB558" s="97"/>
      <c r="AC558" s="79" t="s">
        <v>401</v>
      </c>
      <c r="AD558" s="79">
        <v>235000</v>
      </c>
      <c r="AF558" s="79">
        <v>0</v>
      </c>
      <c r="AJ558" s="79">
        <v>1</v>
      </c>
      <c r="AK558" s="79">
        <v>1</v>
      </c>
      <c r="AL558" s="79">
        <v>2358</v>
      </c>
      <c r="AM558" s="79" t="s">
        <v>2693</v>
      </c>
      <c r="BK558" s="79" t="s">
        <v>2694</v>
      </c>
      <c r="BL558" s="79" t="s">
        <v>2704</v>
      </c>
      <c r="BM558" s="79" t="s">
        <v>2698</v>
      </c>
      <c r="BN558" s="79" t="s">
        <v>2696</v>
      </c>
      <c r="BO558" s="79" t="s">
        <v>2697</v>
      </c>
      <c r="BP558" s="79" t="s">
        <v>2698</v>
      </c>
      <c r="BQ558" s="79" t="s">
        <v>2699</v>
      </c>
      <c r="BR558" s="79" t="s">
        <v>2693</v>
      </c>
      <c r="BS558" s="79" t="s">
        <v>2699</v>
      </c>
      <c r="BT558" s="79" t="s">
        <v>2696</v>
      </c>
      <c r="BU558" s="79">
        <v>1</v>
      </c>
      <c r="BV558" s="79" t="s">
        <v>2696</v>
      </c>
      <c r="BW558" s="79" t="s">
        <v>2698</v>
      </c>
      <c r="BX558" s="79" t="s">
        <v>2696</v>
      </c>
      <c r="BY558" s="79" t="s">
        <v>2699</v>
      </c>
      <c r="BZ558" s="79" t="s">
        <v>2699</v>
      </c>
      <c r="CA558" s="79" t="s">
        <v>2693</v>
      </c>
      <c r="CB558" s="79" t="s">
        <v>2699</v>
      </c>
      <c r="CC558" s="79" t="s">
        <v>2699</v>
      </c>
      <c r="CD558" s="79" t="s">
        <v>2696</v>
      </c>
      <c r="CF558" s="81" t="s">
        <v>4104</v>
      </c>
      <c r="CG558" s="81" t="s">
        <v>4103</v>
      </c>
      <c r="CH558" s="79" t="s">
        <v>2693</v>
      </c>
      <c r="CI558" s="79" t="s">
        <v>2076</v>
      </c>
      <c r="CJ558" s="79" t="s">
        <v>2701</v>
      </c>
      <c r="CK558" s="145">
        <v>0</v>
      </c>
      <c r="CL558"/>
    </row>
    <row r="559" spans="1:90" s="79" customFormat="1">
      <c r="A559" s="79" t="s">
        <v>3641</v>
      </c>
      <c r="B559" s="79" t="s">
        <v>4043</v>
      </c>
      <c r="D559" s="79" t="s">
        <v>688</v>
      </c>
      <c r="E559" s="79" t="s">
        <v>4043</v>
      </c>
      <c r="F559" s="79" t="s">
        <v>3132</v>
      </c>
      <c r="G559" s="79" t="s">
        <v>2443</v>
      </c>
      <c r="H559" s="79" t="s">
        <v>1201</v>
      </c>
      <c r="I559" s="79" t="s">
        <v>1202</v>
      </c>
      <c r="J559" s="79" t="s">
        <v>1203</v>
      </c>
      <c r="K559" s="79" t="s">
        <v>565</v>
      </c>
      <c r="L559" s="79" t="s">
        <v>398</v>
      </c>
      <c r="M559" s="79" t="s">
        <v>399</v>
      </c>
      <c r="N559" s="79" t="s">
        <v>1909</v>
      </c>
      <c r="O559" s="79" t="s">
        <v>106</v>
      </c>
      <c r="P559" s="79">
        <v>4</v>
      </c>
      <c r="Q559" s="79" t="s">
        <v>106</v>
      </c>
      <c r="R559" s="79" t="s">
        <v>2727</v>
      </c>
      <c r="S559" s="79" t="s">
        <v>2764</v>
      </c>
      <c r="T559" s="79" t="s">
        <v>2703</v>
      </c>
      <c r="U559" s="79" t="s">
        <v>401</v>
      </c>
      <c r="V559" s="97"/>
      <c r="W559" s="97"/>
      <c r="X559" s="97"/>
      <c r="Y559" s="97"/>
      <c r="Z559" s="97"/>
      <c r="AA559" s="97"/>
      <c r="AB559" s="97"/>
      <c r="AC559" s="79" t="s">
        <v>401</v>
      </c>
      <c r="AD559" s="79">
        <v>111000</v>
      </c>
      <c r="AF559" s="79">
        <v>0</v>
      </c>
      <c r="AJ559" s="79">
        <v>1</v>
      </c>
      <c r="AK559" s="79">
        <v>1</v>
      </c>
      <c r="AL559" s="79">
        <v>1184</v>
      </c>
      <c r="AM559" s="79" t="s">
        <v>2693</v>
      </c>
      <c r="BK559" s="79" t="s">
        <v>2694</v>
      </c>
      <c r="BL559" s="79" t="s">
        <v>2704</v>
      </c>
      <c r="BM559" s="79" t="s">
        <v>2698</v>
      </c>
      <c r="BN559" s="79" t="s">
        <v>2696</v>
      </c>
      <c r="BO559" s="79" t="s">
        <v>2697</v>
      </c>
      <c r="BP559" s="79" t="s">
        <v>2698</v>
      </c>
      <c r="BQ559" s="79" t="s">
        <v>2699</v>
      </c>
      <c r="BR559" s="79" t="s">
        <v>2693</v>
      </c>
      <c r="BS559" s="79" t="s">
        <v>2699</v>
      </c>
      <c r="BT559" s="79" t="s">
        <v>2696</v>
      </c>
      <c r="BU559" s="79">
        <v>1</v>
      </c>
      <c r="BV559" s="79" t="s">
        <v>2696</v>
      </c>
      <c r="BW559" s="79" t="s">
        <v>2698</v>
      </c>
      <c r="BX559" s="79" t="s">
        <v>2696</v>
      </c>
      <c r="BY559" s="79" t="s">
        <v>2699</v>
      </c>
      <c r="BZ559" s="79" t="s">
        <v>2699</v>
      </c>
      <c r="CA559" s="79" t="s">
        <v>2693</v>
      </c>
      <c r="CB559" s="79">
        <v>9</v>
      </c>
      <c r="CC559" s="79" t="s">
        <v>2699</v>
      </c>
      <c r="CD559" s="79" t="s">
        <v>2696</v>
      </c>
      <c r="CF559" s="81" t="s">
        <v>4078</v>
      </c>
      <c r="CG559" s="81" t="s">
        <v>4109</v>
      </c>
      <c r="CH559" s="79" t="s">
        <v>2693</v>
      </c>
      <c r="CI559" s="79" t="s">
        <v>2076</v>
      </c>
      <c r="CJ559" s="79" t="s">
        <v>2701</v>
      </c>
      <c r="CK559" s="145">
        <v>0</v>
      </c>
      <c r="CL559"/>
    </row>
    <row r="560" spans="1:90" s="79" customFormat="1">
      <c r="A560" s="79" t="s">
        <v>3599</v>
      </c>
      <c r="B560" s="79" t="s">
        <v>4043</v>
      </c>
      <c r="D560" s="79" t="s">
        <v>688</v>
      </c>
      <c r="E560" s="79" t="s">
        <v>4043</v>
      </c>
      <c r="F560" s="79" t="s">
        <v>3600</v>
      </c>
      <c r="G560" s="79" t="s">
        <v>2443</v>
      </c>
      <c r="H560" s="79" t="s">
        <v>1201</v>
      </c>
      <c r="I560" s="79" t="s">
        <v>1202</v>
      </c>
      <c r="J560" s="79" t="s">
        <v>1203</v>
      </c>
      <c r="K560" s="79" t="s">
        <v>565</v>
      </c>
      <c r="L560" s="79" t="s">
        <v>398</v>
      </c>
      <c r="M560" s="79" t="s">
        <v>399</v>
      </c>
      <c r="N560" s="79" t="s">
        <v>1909</v>
      </c>
      <c r="O560" s="79" t="s">
        <v>106</v>
      </c>
      <c r="P560" s="79">
        <v>4</v>
      </c>
      <c r="Q560" s="79" t="s">
        <v>106</v>
      </c>
      <c r="R560" s="79" t="s">
        <v>2727</v>
      </c>
      <c r="S560" s="79" t="s">
        <v>2764</v>
      </c>
      <c r="T560" s="79" t="s">
        <v>2703</v>
      </c>
      <c r="U560" s="79" t="s">
        <v>401</v>
      </c>
      <c r="V560" s="97"/>
      <c r="W560" s="97"/>
      <c r="X560" s="97"/>
      <c r="Y560" s="97"/>
      <c r="Z560" s="97"/>
      <c r="AA560" s="97"/>
      <c r="AB560" s="97"/>
      <c r="AC560" s="79" t="s">
        <v>401</v>
      </c>
      <c r="AD560" s="79">
        <v>252000</v>
      </c>
      <c r="AF560" s="79">
        <v>0</v>
      </c>
      <c r="AJ560" s="79">
        <v>1</v>
      </c>
      <c r="AK560" s="79">
        <v>1</v>
      </c>
      <c r="AL560" s="79">
        <v>2774</v>
      </c>
      <c r="AM560" s="79" t="s">
        <v>2693</v>
      </c>
      <c r="BK560" s="79" t="s">
        <v>2694</v>
      </c>
      <c r="BL560" s="79" t="s">
        <v>2704</v>
      </c>
      <c r="BM560" s="79" t="s">
        <v>2698</v>
      </c>
      <c r="BN560" s="79" t="s">
        <v>2696</v>
      </c>
      <c r="BO560" s="79" t="s">
        <v>2697</v>
      </c>
      <c r="BP560" s="79" t="s">
        <v>2698</v>
      </c>
      <c r="BQ560" s="79" t="s">
        <v>2699</v>
      </c>
      <c r="BR560" s="79" t="s">
        <v>2693</v>
      </c>
      <c r="BS560" s="79" t="s">
        <v>2699</v>
      </c>
      <c r="BT560" s="79" t="s">
        <v>2696</v>
      </c>
      <c r="BU560" s="79">
        <v>1</v>
      </c>
      <c r="BV560" s="79" t="s">
        <v>2696</v>
      </c>
      <c r="BW560" s="79" t="s">
        <v>2698</v>
      </c>
      <c r="BX560" s="79" t="s">
        <v>2696</v>
      </c>
      <c r="BY560" s="79" t="s">
        <v>2699</v>
      </c>
      <c r="BZ560" s="79" t="s">
        <v>2699</v>
      </c>
      <c r="CA560" s="79" t="s">
        <v>2693</v>
      </c>
      <c r="CB560" s="79" t="s">
        <v>2699</v>
      </c>
      <c r="CC560" s="79" t="s">
        <v>2699</v>
      </c>
      <c r="CD560" s="79" t="s">
        <v>2696</v>
      </c>
      <c r="CF560" s="81" t="s">
        <v>4078</v>
      </c>
      <c r="CG560" s="81" t="s">
        <v>4079</v>
      </c>
      <c r="CH560" s="79" t="s">
        <v>2693</v>
      </c>
      <c r="CI560" s="79" t="s">
        <v>2076</v>
      </c>
      <c r="CJ560" s="79" t="s">
        <v>2701</v>
      </c>
      <c r="CK560" s="145">
        <v>0</v>
      </c>
      <c r="CL560"/>
    </row>
    <row r="561" spans="1:90">
      <c r="A561" s="79" t="s">
        <v>3601</v>
      </c>
      <c r="B561" s="79" t="s">
        <v>4043</v>
      </c>
      <c r="C561" s="79"/>
      <c r="D561" s="79" t="s">
        <v>688</v>
      </c>
      <c r="E561" s="79" t="s">
        <v>4043</v>
      </c>
      <c r="F561" s="79" t="s">
        <v>3602</v>
      </c>
      <c r="G561" s="79" t="s">
        <v>2443</v>
      </c>
      <c r="H561" s="79" t="s">
        <v>1201</v>
      </c>
      <c r="I561" s="79" t="s">
        <v>1202</v>
      </c>
      <c r="J561" s="79" t="s">
        <v>1203</v>
      </c>
      <c r="K561" s="79" t="s">
        <v>565</v>
      </c>
      <c r="L561" s="79" t="s">
        <v>398</v>
      </c>
      <c r="M561" s="79" t="s">
        <v>399</v>
      </c>
      <c r="N561" s="79" t="s">
        <v>1909</v>
      </c>
      <c r="O561" s="79" t="s">
        <v>106</v>
      </c>
      <c r="P561" s="79">
        <v>4</v>
      </c>
      <c r="Q561" s="79" t="s">
        <v>106</v>
      </c>
      <c r="R561" s="79" t="s">
        <v>2727</v>
      </c>
      <c r="S561" s="79" t="s">
        <v>2764</v>
      </c>
      <c r="T561" s="79" t="s">
        <v>2703</v>
      </c>
      <c r="U561" s="79" t="s">
        <v>401</v>
      </c>
      <c r="AC561" s="79" t="s">
        <v>401</v>
      </c>
      <c r="AD561" s="79">
        <v>252000</v>
      </c>
      <c r="AE561" s="79"/>
      <c r="AF561" s="79">
        <v>0</v>
      </c>
      <c r="AG561" s="79"/>
      <c r="AH561" s="79"/>
      <c r="AI561" s="79"/>
      <c r="AJ561" s="79">
        <v>1</v>
      </c>
      <c r="AK561" s="79">
        <v>1</v>
      </c>
      <c r="AL561" s="79">
        <v>2774</v>
      </c>
      <c r="AM561" s="79" t="s">
        <v>2693</v>
      </c>
      <c r="AN561" s="79"/>
      <c r="AO561" s="79"/>
      <c r="AP561" s="79"/>
      <c r="AQ561" s="79"/>
      <c r="AR561" s="79"/>
      <c r="AS561" s="79"/>
      <c r="AT561" s="79"/>
      <c r="AU561" s="79"/>
      <c r="AV561" s="79"/>
      <c r="AW561" s="79"/>
      <c r="AX561" s="79"/>
      <c r="AY561" s="79"/>
      <c r="AZ561" s="79"/>
      <c r="BA561" s="79"/>
      <c r="BB561" s="79"/>
      <c r="BC561" s="79"/>
      <c r="BD561" s="79"/>
      <c r="BE561" s="79"/>
      <c r="BF561" s="79"/>
      <c r="BG561" s="79"/>
      <c r="BH561" s="79"/>
      <c r="BI561" s="79"/>
      <c r="BJ561" s="79"/>
      <c r="BK561" s="79" t="s">
        <v>2694</v>
      </c>
      <c r="BL561" s="79" t="s">
        <v>2704</v>
      </c>
      <c r="BM561" s="79" t="s">
        <v>2698</v>
      </c>
      <c r="BN561" s="79" t="s">
        <v>2696</v>
      </c>
      <c r="BO561" s="79" t="s">
        <v>2697</v>
      </c>
      <c r="BP561" s="79" t="s">
        <v>2698</v>
      </c>
      <c r="BQ561" s="79" t="s">
        <v>2699</v>
      </c>
      <c r="BR561" s="79" t="s">
        <v>2693</v>
      </c>
      <c r="BS561" s="79" t="s">
        <v>2699</v>
      </c>
      <c r="BT561" s="79" t="s">
        <v>2696</v>
      </c>
      <c r="BU561" s="79">
        <v>1</v>
      </c>
      <c r="BV561" s="79" t="s">
        <v>2696</v>
      </c>
      <c r="BW561" s="79" t="s">
        <v>2698</v>
      </c>
      <c r="BX561" s="79" t="s">
        <v>2696</v>
      </c>
      <c r="BY561" s="79" t="s">
        <v>2699</v>
      </c>
      <c r="BZ561" s="79" t="s">
        <v>2699</v>
      </c>
      <c r="CA561" s="79" t="s">
        <v>2693</v>
      </c>
      <c r="CB561" s="79" t="s">
        <v>2699</v>
      </c>
      <c r="CC561" s="79" t="s">
        <v>2699</v>
      </c>
      <c r="CD561" s="79" t="s">
        <v>2696</v>
      </c>
      <c r="CE561" s="79"/>
      <c r="CF561" s="81" t="s">
        <v>4080</v>
      </c>
      <c r="CG561" s="81" t="s">
        <v>4081</v>
      </c>
      <c r="CH561" s="79" t="s">
        <v>2693</v>
      </c>
      <c r="CI561" s="79" t="s">
        <v>2076</v>
      </c>
      <c r="CJ561" s="79" t="s">
        <v>2701</v>
      </c>
      <c r="CK561" s="145">
        <v>0</v>
      </c>
      <c r="CL561"/>
    </row>
    <row r="562" spans="1:90">
      <c r="A562" s="79" t="s">
        <v>3633</v>
      </c>
      <c r="B562" s="79" t="s">
        <v>4043</v>
      </c>
      <c r="C562" s="79"/>
      <c r="D562" s="79" t="s">
        <v>688</v>
      </c>
      <c r="E562" s="79" t="s">
        <v>4043</v>
      </c>
      <c r="F562" s="79" t="s">
        <v>3634</v>
      </c>
      <c r="G562" s="79" t="s">
        <v>2443</v>
      </c>
      <c r="H562" s="79" t="s">
        <v>1201</v>
      </c>
      <c r="I562" s="79" t="s">
        <v>1202</v>
      </c>
      <c r="J562" s="79" t="s">
        <v>1203</v>
      </c>
      <c r="K562" s="79" t="s">
        <v>565</v>
      </c>
      <c r="L562" s="79" t="s">
        <v>398</v>
      </c>
      <c r="M562" s="79" t="s">
        <v>399</v>
      </c>
      <c r="N562" s="79" t="s">
        <v>1909</v>
      </c>
      <c r="O562" s="79" t="s">
        <v>106</v>
      </c>
      <c r="P562" s="79">
        <v>4</v>
      </c>
      <c r="Q562" s="79" t="s">
        <v>106</v>
      </c>
      <c r="R562" s="79" t="s">
        <v>2727</v>
      </c>
      <c r="S562" s="79" t="s">
        <v>2764</v>
      </c>
      <c r="T562" s="79" t="s">
        <v>2703</v>
      </c>
      <c r="U562" s="79" t="s">
        <v>401</v>
      </c>
      <c r="AC562" s="79" t="s">
        <v>401</v>
      </c>
      <c r="AD562" s="79">
        <v>235000</v>
      </c>
      <c r="AE562" s="79"/>
      <c r="AF562" s="79">
        <v>0</v>
      </c>
      <c r="AG562" s="79"/>
      <c r="AH562" s="79"/>
      <c r="AI562" s="79"/>
      <c r="AJ562" s="79">
        <v>1</v>
      </c>
      <c r="AK562" s="79">
        <v>1</v>
      </c>
      <c r="AL562" s="79">
        <v>2358</v>
      </c>
      <c r="AM562" s="79" t="s">
        <v>2693</v>
      </c>
      <c r="AN562" s="79"/>
      <c r="AO562" s="79"/>
      <c r="AP562" s="79"/>
      <c r="AQ562" s="79"/>
      <c r="AR562" s="79"/>
      <c r="AS562" s="79"/>
      <c r="AT562" s="79"/>
      <c r="AU562" s="79"/>
      <c r="AV562" s="79"/>
      <c r="AW562" s="79"/>
      <c r="AX562" s="79"/>
      <c r="AY562" s="79"/>
      <c r="AZ562" s="79"/>
      <c r="BA562" s="79"/>
      <c r="BB562" s="79"/>
      <c r="BC562" s="79"/>
      <c r="BD562" s="79"/>
      <c r="BE562" s="79"/>
      <c r="BF562" s="79"/>
      <c r="BG562" s="79"/>
      <c r="BH562" s="79"/>
      <c r="BI562" s="79"/>
      <c r="BJ562" s="79"/>
      <c r="BK562" s="79" t="s">
        <v>2694</v>
      </c>
      <c r="BL562" s="79" t="s">
        <v>2704</v>
      </c>
      <c r="BM562" s="79" t="s">
        <v>2698</v>
      </c>
      <c r="BN562" s="79" t="s">
        <v>2696</v>
      </c>
      <c r="BO562" s="79" t="s">
        <v>2697</v>
      </c>
      <c r="BP562" s="79" t="s">
        <v>2698</v>
      </c>
      <c r="BQ562" s="79" t="s">
        <v>2699</v>
      </c>
      <c r="BR562" s="79" t="s">
        <v>2693</v>
      </c>
      <c r="BS562" s="79" t="s">
        <v>2699</v>
      </c>
      <c r="BT562" s="79" t="s">
        <v>2696</v>
      </c>
      <c r="BU562" s="79">
        <v>1</v>
      </c>
      <c r="BV562" s="79" t="s">
        <v>2696</v>
      </c>
      <c r="BW562" s="79" t="s">
        <v>2698</v>
      </c>
      <c r="BX562" s="79" t="s">
        <v>2696</v>
      </c>
      <c r="BY562" s="79" t="s">
        <v>2699</v>
      </c>
      <c r="BZ562" s="79" t="s">
        <v>2699</v>
      </c>
      <c r="CA562" s="79" t="s">
        <v>2693</v>
      </c>
      <c r="CB562" s="79" t="s">
        <v>2699</v>
      </c>
      <c r="CC562" s="79" t="s">
        <v>2699</v>
      </c>
      <c r="CD562" s="79" t="s">
        <v>2696</v>
      </c>
      <c r="CE562" s="79"/>
      <c r="CF562" s="81" t="s">
        <v>4105</v>
      </c>
      <c r="CG562" s="81" t="s">
        <v>4055</v>
      </c>
      <c r="CH562" s="79" t="s">
        <v>2693</v>
      </c>
      <c r="CI562" s="79" t="s">
        <v>2076</v>
      </c>
      <c r="CJ562" s="79" t="s">
        <v>2701</v>
      </c>
      <c r="CK562" s="145">
        <v>0</v>
      </c>
      <c r="CL562"/>
    </row>
    <row r="563" spans="1:90" s="79" customFormat="1">
      <c r="A563" s="79" t="s">
        <v>3603</v>
      </c>
      <c r="B563" s="79" t="s">
        <v>4043</v>
      </c>
      <c r="D563" s="79" t="s">
        <v>688</v>
      </c>
      <c r="E563" s="79" t="s">
        <v>4043</v>
      </c>
      <c r="F563" s="79" t="s">
        <v>3604</v>
      </c>
      <c r="G563" s="79" t="s">
        <v>2443</v>
      </c>
      <c r="H563" s="79" t="s">
        <v>1201</v>
      </c>
      <c r="I563" s="79" t="s">
        <v>1202</v>
      </c>
      <c r="J563" s="79" t="s">
        <v>1203</v>
      </c>
      <c r="K563" s="79" t="s">
        <v>565</v>
      </c>
      <c r="L563" s="79" t="s">
        <v>398</v>
      </c>
      <c r="M563" s="79" t="s">
        <v>399</v>
      </c>
      <c r="N563" s="79" t="s">
        <v>1909</v>
      </c>
      <c r="O563" s="79" t="s">
        <v>106</v>
      </c>
      <c r="P563" s="79">
        <v>4</v>
      </c>
      <c r="Q563" s="79" t="s">
        <v>106</v>
      </c>
      <c r="R563" s="79" t="s">
        <v>2727</v>
      </c>
      <c r="S563" s="79" t="s">
        <v>2764</v>
      </c>
      <c r="T563" s="79" t="s">
        <v>2703</v>
      </c>
      <c r="U563" s="79" t="s">
        <v>401</v>
      </c>
      <c r="V563" s="97"/>
      <c r="W563" s="97"/>
      <c r="X563" s="97"/>
      <c r="Y563" s="97"/>
      <c r="Z563" s="97"/>
      <c r="AA563" s="97"/>
      <c r="AB563" s="97"/>
      <c r="AC563" s="79" t="s">
        <v>401</v>
      </c>
      <c r="AD563" s="79">
        <v>252000</v>
      </c>
      <c r="AF563" s="79">
        <v>0</v>
      </c>
      <c r="AJ563" s="79">
        <v>1</v>
      </c>
      <c r="AK563" s="79">
        <v>1</v>
      </c>
      <c r="AL563" s="79">
        <v>2774</v>
      </c>
      <c r="AM563" s="79" t="s">
        <v>2693</v>
      </c>
      <c r="BK563" s="79" t="s">
        <v>2694</v>
      </c>
      <c r="BL563" s="79" t="s">
        <v>2704</v>
      </c>
      <c r="BM563" s="79" t="s">
        <v>2698</v>
      </c>
      <c r="BN563" s="79" t="s">
        <v>2696</v>
      </c>
      <c r="BO563" s="79" t="s">
        <v>2697</v>
      </c>
      <c r="BP563" s="79" t="s">
        <v>2698</v>
      </c>
      <c r="BQ563" s="79" t="s">
        <v>2699</v>
      </c>
      <c r="BR563" s="79" t="s">
        <v>2693</v>
      </c>
      <c r="BS563" s="79" t="s">
        <v>2699</v>
      </c>
      <c r="BT563" s="79" t="s">
        <v>2696</v>
      </c>
      <c r="BU563" s="79">
        <v>1</v>
      </c>
      <c r="BV563" s="79" t="s">
        <v>2696</v>
      </c>
      <c r="BW563" s="79" t="s">
        <v>2698</v>
      </c>
      <c r="BX563" s="79" t="s">
        <v>2696</v>
      </c>
      <c r="BY563" s="79" t="s">
        <v>2699</v>
      </c>
      <c r="BZ563" s="79" t="s">
        <v>2699</v>
      </c>
      <c r="CA563" s="79" t="s">
        <v>2693</v>
      </c>
      <c r="CB563" s="79" t="s">
        <v>2699</v>
      </c>
      <c r="CC563" s="79" t="s">
        <v>2699</v>
      </c>
      <c r="CD563" s="79" t="s">
        <v>2696</v>
      </c>
      <c r="CF563" s="81" t="s">
        <v>4082</v>
      </c>
      <c r="CG563" s="81" t="s">
        <v>4083</v>
      </c>
      <c r="CH563" s="79" t="s">
        <v>2693</v>
      </c>
      <c r="CI563" s="79" t="s">
        <v>2076</v>
      </c>
      <c r="CJ563" s="79" t="s">
        <v>2701</v>
      </c>
      <c r="CK563" s="145">
        <v>0</v>
      </c>
      <c r="CL563"/>
    </row>
    <row r="564" spans="1:90" s="79" customFormat="1">
      <c r="A564" s="79" t="s">
        <v>3605</v>
      </c>
      <c r="B564" s="79" t="s">
        <v>4043</v>
      </c>
      <c r="D564" s="79" t="s">
        <v>688</v>
      </c>
      <c r="E564" s="79" t="s">
        <v>4043</v>
      </c>
      <c r="F564" s="79" t="s">
        <v>1338</v>
      </c>
      <c r="G564" s="79" t="s">
        <v>2443</v>
      </c>
      <c r="H564" s="79" t="s">
        <v>1201</v>
      </c>
      <c r="I564" s="79" t="s">
        <v>1202</v>
      </c>
      <c r="J564" s="79" t="s">
        <v>1203</v>
      </c>
      <c r="K564" s="79" t="s">
        <v>565</v>
      </c>
      <c r="L564" s="79" t="s">
        <v>398</v>
      </c>
      <c r="M564" s="79" t="s">
        <v>399</v>
      </c>
      <c r="N564" s="79" t="s">
        <v>1909</v>
      </c>
      <c r="O564" s="79" t="s">
        <v>106</v>
      </c>
      <c r="P564" s="79">
        <v>4</v>
      </c>
      <c r="Q564" s="79" t="s">
        <v>106</v>
      </c>
      <c r="R564" s="79" t="s">
        <v>2727</v>
      </c>
      <c r="S564" s="79" t="s">
        <v>2764</v>
      </c>
      <c r="T564" s="79" t="s">
        <v>2703</v>
      </c>
      <c r="U564" s="79" t="s">
        <v>401</v>
      </c>
      <c r="V564" s="97"/>
      <c r="W564" s="97"/>
      <c r="X564" s="97"/>
      <c r="Y564" s="97"/>
      <c r="Z564" s="97"/>
      <c r="AA564" s="97"/>
      <c r="AB564" s="97"/>
      <c r="AC564" s="79" t="s">
        <v>401</v>
      </c>
      <c r="AD564" s="79">
        <v>252000</v>
      </c>
      <c r="AF564" s="79">
        <v>0</v>
      </c>
      <c r="AJ564" s="79">
        <v>1</v>
      </c>
      <c r="AK564" s="79">
        <v>1</v>
      </c>
      <c r="AL564" s="79">
        <v>2774</v>
      </c>
      <c r="AM564" s="79" t="s">
        <v>2693</v>
      </c>
      <c r="BK564" s="79" t="s">
        <v>2694</v>
      </c>
      <c r="BL564" s="79" t="s">
        <v>2704</v>
      </c>
      <c r="BM564" s="79" t="s">
        <v>2698</v>
      </c>
      <c r="BN564" s="79" t="s">
        <v>2696</v>
      </c>
      <c r="BO564" s="79" t="s">
        <v>2697</v>
      </c>
      <c r="BP564" s="79" t="s">
        <v>2698</v>
      </c>
      <c r="BQ564" s="79" t="s">
        <v>2699</v>
      </c>
      <c r="BR564" s="79" t="s">
        <v>2693</v>
      </c>
      <c r="BS564" s="79" t="s">
        <v>2699</v>
      </c>
      <c r="BT564" s="79" t="s">
        <v>2696</v>
      </c>
      <c r="BU564" s="79">
        <v>1</v>
      </c>
      <c r="BV564" s="79" t="s">
        <v>2696</v>
      </c>
      <c r="BW564" s="79" t="s">
        <v>2698</v>
      </c>
      <c r="BX564" s="79" t="s">
        <v>2696</v>
      </c>
      <c r="BY564" s="79" t="s">
        <v>2699</v>
      </c>
      <c r="BZ564" s="79" t="s">
        <v>2699</v>
      </c>
      <c r="CA564" s="79" t="s">
        <v>2693</v>
      </c>
      <c r="CB564" s="79" t="s">
        <v>2699</v>
      </c>
      <c r="CC564" s="79" t="s">
        <v>2699</v>
      </c>
      <c r="CD564" s="79" t="s">
        <v>2696</v>
      </c>
      <c r="CF564" s="81" t="s">
        <v>4082</v>
      </c>
      <c r="CG564" s="81" t="s">
        <v>4083</v>
      </c>
      <c r="CH564" s="79" t="s">
        <v>2693</v>
      </c>
      <c r="CI564" s="79" t="s">
        <v>2076</v>
      </c>
      <c r="CJ564" s="79" t="s">
        <v>2701</v>
      </c>
      <c r="CK564" s="145">
        <v>0</v>
      </c>
      <c r="CL564"/>
    </row>
    <row r="565" spans="1:90" s="79" customFormat="1">
      <c r="A565" s="79" t="s">
        <v>3571</v>
      </c>
      <c r="B565" s="79" t="s">
        <v>4030</v>
      </c>
      <c r="D565" s="79" t="s">
        <v>688</v>
      </c>
      <c r="E565" s="79" t="s">
        <v>4030</v>
      </c>
      <c r="F565" s="79" t="s">
        <v>3572</v>
      </c>
      <c r="G565" s="79" t="s">
        <v>2443</v>
      </c>
      <c r="H565" s="79" t="s">
        <v>1201</v>
      </c>
      <c r="I565" s="79" t="s">
        <v>1202</v>
      </c>
      <c r="J565" s="79" t="s">
        <v>1203</v>
      </c>
      <c r="K565" s="79" t="s">
        <v>565</v>
      </c>
      <c r="L565" s="79" t="s">
        <v>398</v>
      </c>
      <c r="M565" s="79" t="s">
        <v>399</v>
      </c>
      <c r="N565" s="79" t="s">
        <v>1909</v>
      </c>
      <c r="O565" s="79" t="s">
        <v>106</v>
      </c>
      <c r="P565" s="79">
        <v>4</v>
      </c>
      <c r="Q565" s="79" t="s">
        <v>106</v>
      </c>
      <c r="R565" s="79" t="s">
        <v>2727</v>
      </c>
      <c r="S565" s="79" t="s">
        <v>2764</v>
      </c>
      <c r="T565" s="79" t="s">
        <v>2703</v>
      </c>
      <c r="U565" s="79" t="s">
        <v>401</v>
      </c>
      <c r="V565" s="97"/>
      <c r="W565" s="97"/>
      <c r="X565" s="97"/>
      <c r="Y565" s="97"/>
      <c r="Z565" s="97"/>
      <c r="AA565" s="97"/>
      <c r="AB565" s="97"/>
      <c r="AC565" s="79" t="s">
        <v>401</v>
      </c>
      <c r="AD565" s="79">
        <v>252000</v>
      </c>
      <c r="AF565" s="79">
        <v>0</v>
      </c>
      <c r="AJ565" s="79">
        <v>1</v>
      </c>
      <c r="AK565" s="79">
        <v>1</v>
      </c>
      <c r="AL565" s="79">
        <v>2774</v>
      </c>
      <c r="AM565" s="79" t="s">
        <v>2693</v>
      </c>
      <c r="BK565" s="79" t="s">
        <v>2694</v>
      </c>
      <c r="BL565" s="79" t="s">
        <v>2704</v>
      </c>
      <c r="BM565" s="79" t="s">
        <v>2698</v>
      </c>
      <c r="BN565" s="79" t="s">
        <v>2696</v>
      </c>
      <c r="BO565" s="79" t="s">
        <v>2697</v>
      </c>
      <c r="BP565" s="79" t="s">
        <v>2698</v>
      </c>
      <c r="BQ565" s="79" t="s">
        <v>2699</v>
      </c>
      <c r="BR565" s="79" t="s">
        <v>2693</v>
      </c>
      <c r="BS565" s="79" t="s">
        <v>2699</v>
      </c>
      <c r="BT565" s="79" t="s">
        <v>2696</v>
      </c>
      <c r="BU565" s="79">
        <v>1</v>
      </c>
      <c r="BV565" s="79" t="s">
        <v>2696</v>
      </c>
      <c r="BW565" s="79" t="s">
        <v>2698</v>
      </c>
      <c r="BX565" s="79" t="s">
        <v>2696</v>
      </c>
      <c r="BY565" s="79" t="s">
        <v>2699</v>
      </c>
      <c r="BZ565" s="79" t="s">
        <v>2699</v>
      </c>
      <c r="CA565" s="79" t="s">
        <v>2693</v>
      </c>
      <c r="CB565" s="79" t="s">
        <v>2699</v>
      </c>
      <c r="CC565" s="79" t="s">
        <v>2699</v>
      </c>
      <c r="CD565" s="79" t="s">
        <v>2696</v>
      </c>
      <c r="CF565" s="81" t="s">
        <v>4052</v>
      </c>
      <c r="CG565" s="81" t="s">
        <v>4053</v>
      </c>
      <c r="CH565" s="79" t="s">
        <v>2693</v>
      </c>
      <c r="CI565" s="79" t="s">
        <v>2076</v>
      </c>
      <c r="CJ565" s="79" t="s">
        <v>2701</v>
      </c>
      <c r="CK565" s="145">
        <v>0</v>
      </c>
      <c r="CL565"/>
    </row>
    <row r="566" spans="1:90" s="79" customFormat="1">
      <c r="A566" s="79" t="s">
        <v>3573</v>
      </c>
      <c r="B566" s="79" t="s">
        <v>4031</v>
      </c>
      <c r="D566" s="79" t="s">
        <v>688</v>
      </c>
      <c r="E566" s="79" t="s">
        <v>4031</v>
      </c>
      <c r="F566" s="79" t="s">
        <v>3574</v>
      </c>
      <c r="G566" s="79" t="s">
        <v>2444</v>
      </c>
      <c r="H566" s="79" t="s">
        <v>1201</v>
      </c>
      <c r="I566" s="79" t="s">
        <v>1202</v>
      </c>
      <c r="J566" s="79" t="s">
        <v>1203</v>
      </c>
      <c r="K566" s="79" t="s">
        <v>565</v>
      </c>
      <c r="L566" s="79" t="s">
        <v>398</v>
      </c>
      <c r="M566" s="79" t="s">
        <v>399</v>
      </c>
      <c r="N566" s="79" t="s">
        <v>1909</v>
      </c>
      <c r="O566" s="79" t="s">
        <v>106</v>
      </c>
      <c r="P566" s="79">
        <v>4</v>
      </c>
      <c r="Q566" s="79" t="s">
        <v>106</v>
      </c>
      <c r="R566" s="79" t="s">
        <v>2727</v>
      </c>
      <c r="S566" s="79" t="s">
        <v>2764</v>
      </c>
      <c r="T566" s="79" t="s">
        <v>2703</v>
      </c>
      <c r="U566" s="79" t="s">
        <v>401</v>
      </c>
      <c r="V566" s="97"/>
      <c r="W566" s="97"/>
      <c r="X566" s="97"/>
      <c r="Y566" s="97"/>
      <c r="Z566" s="97"/>
      <c r="AA566" s="97"/>
      <c r="AB566" s="97"/>
      <c r="AC566" s="79" t="s">
        <v>401</v>
      </c>
      <c r="AD566" s="79">
        <v>252000</v>
      </c>
      <c r="AF566" s="79">
        <v>0</v>
      </c>
      <c r="AJ566" s="79">
        <v>1</v>
      </c>
      <c r="AK566" s="79">
        <v>1</v>
      </c>
      <c r="AL566" s="79">
        <v>2774</v>
      </c>
      <c r="AM566" s="79" t="s">
        <v>2693</v>
      </c>
      <c r="BK566" s="79" t="s">
        <v>2694</v>
      </c>
      <c r="BL566" s="79" t="s">
        <v>2704</v>
      </c>
      <c r="BM566" s="79" t="s">
        <v>2698</v>
      </c>
      <c r="BN566" s="79" t="s">
        <v>2696</v>
      </c>
      <c r="BO566" s="79" t="s">
        <v>2697</v>
      </c>
      <c r="BP566" s="79" t="s">
        <v>2698</v>
      </c>
      <c r="BQ566" s="79" t="s">
        <v>2699</v>
      </c>
      <c r="BR566" s="79" t="s">
        <v>2693</v>
      </c>
      <c r="BS566" s="79" t="s">
        <v>2699</v>
      </c>
      <c r="BT566" s="79" t="s">
        <v>2696</v>
      </c>
      <c r="BU566" s="79">
        <v>1</v>
      </c>
      <c r="BV566" s="79" t="s">
        <v>2696</v>
      </c>
      <c r="BW566" s="79" t="s">
        <v>2698</v>
      </c>
      <c r="BX566" s="79" t="s">
        <v>2696</v>
      </c>
      <c r="BY566" s="79" t="s">
        <v>2699</v>
      </c>
      <c r="BZ566" s="79" t="s">
        <v>2699</v>
      </c>
      <c r="CA566" s="79" t="s">
        <v>2693</v>
      </c>
      <c r="CB566" s="79" t="s">
        <v>2699</v>
      </c>
      <c r="CC566" s="79" t="s">
        <v>2699</v>
      </c>
      <c r="CD566" s="79" t="s">
        <v>2696</v>
      </c>
      <c r="CF566" s="81" t="s">
        <v>4054</v>
      </c>
      <c r="CG566" s="81" t="s">
        <v>4055</v>
      </c>
      <c r="CH566" s="79" t="s">
        <v>2693</v>
      </c>
      <c r="CI566" s="79" t="s">
        <v>2076</v>
      </c>
      <c r="CJ566" s="79" t="s">
        <v>2701</v>
      </c>
      <c r="CK566" s="145">
        <v>0</v>
      </c>
      <c r="CL566"/>
    </row>
    <row r="567" spans="1:90" s="79" customFormat="1">
      <c r="A567" s="79" t="s">
        <v>3635</v>
      </c>
      <c r="B567" s="79" t="s">
        <v>4043</v>
      </c>
      <c r="D567" s="79" t="s">
        <v>688</v>
      </c>
      <c r="E567" s="79" t="s">
        <v>4043</v>
      </c>
      <c r="F567" s="79" t="s">
        <v>3636</v>
      </c>
      <c r="G567" s="79" t="s">
        <v>2443</v>
      </c>
      <c r="H567" s="79" t="s">
        <v>1201</v>
      </c>
      <c r="I567" s="79" t="s">
        <v>1202</v>
      </c>
      <c r="J567" s="79" t="s">
        <v>1203</v>
      </c>
      <c r="K567" s="79" t="s">
        <v>565</v>
      </c>
      <c r="L567" s="79" t="s">
        <v>398</v>
      </c>
      <c r="M567" s="79" t="s">
        <v>399</v>
      </c>
      <c r="N567" s="79" t="s">
        <v>1909</v>
      </c>
      <c r="O567" s="79" t="s">
        <v>106</v>
      </c>
      <c r="P567" s="79">
        <v>4</v>
      </c>
      <c r="Q567" s="79" t="s">
        <v>106</v>
      </c>
      <c r="R567" s="79" t="s">
        <v>2727</v>
      </c>
      <c r="S567" s="79" t="s">
        <v>2764</v>
      </c>
      <c r="T567" s="79" t="s">
        <v>2703</v>
      </c>
      <c r="U567" s="79" t="s">
        <v>401</v>
      </c>
      <c r="V567" s="97"/>
      <c r="W567" s="97"/>
      <c r="X567" s="97"/>
      <c r="Y567" s="97"/>
      <c r="Z567" s="97"/>
      <c r="AA567" s="97"/>
      <c r="AB567" s="97"/>
      <c r="AC567" s="79" t="s">
        <v>401</v>
      </c>
      <c r="AD567" s="79">
        <v>235000</v>
      </c>
      <c r="AF567" s="79">
        <v>0</v>
      </c>
      <c r="AJ567" s="79">
        <v>1</v>
      </c>
      <c r="AK567" s="79">
        <v>1</v>
      </c>
      <c r="AL567" s="79">
        <v>2358</v>
      </c>
      <c r="AM567" s="79" t="s">
        <v>2693</v>
      </c>
      <c r="BK567" s="79" t="s">
        <v>2694</v>
      </c>
      <c r="BL567" s="79" t="s">
        <v>2704</v>
      </c>
      <c r="BM567" s="79" t="s">
        <v>2698</v>
      </c>
      <c r="BN567" s="79" t="s">
        <v>2696</v>
      </c>
      <c r="BO567" s="79" t="s">
        <v>2697</v>
      </c>
      <c r="BP567" s="79" t="s">
        <v>2698</v>
      </c>
      <c r="BQ567" s="79" t="s">
        <v>2699</v>
      </c>
      <c r="BR567" s="79" t="s">
        <v>2693</v>
      </c>
      <c r="BS567" s="79" t="s">
        <v>2699</v>
      </c>
      <c r="BT567" s="79" t="s">
        <v>2696</v>
      </c>
      <c r="BU567" s="79">
        <v>1</v>
      </c>
      <c r="BV567" s="79" t="s">
        <v>2696</v>
      </c>
      <c r="BW567" s="79" t="s">
        <v>2698</v>
      </c>
      <c r="BX567" s="79" t="s">
        <v>2696</v>
      </c>
      <c r="BY567" s="79" t="s">
        <v>2699</v>
      </c>
      <c r="BZ567" s="79" t="s">
        <v>2699</v>
      </c>
      <c r="CA567" s="79" t="s">
        <v>2693</v>
      </c>
      <c r="CB567" s="79" t="s">
        <v>2699</v>
      </c>
      <c r="CC567" s="79" t="s">
        <v>2699</v>
      </c>
      <c r="CD567" s="79" t="s">
        <v>2696</v>
      </c>
      <c r="CF567" s="81" t="s">
        <v>4105</v>
      </c>
      <c r="CG567" s="81" t="s">
        <v>4055</v>
      </c>
      <c r="CH567" s="79" t="s">
        <v>2693</v>
      </c>
      <c r="CI567" s="79" t="s">
        <v>2076</v>
      </c>
      <c r="CJ567" s="79" t="s">
        <v>2701</v>
      </c>
      <c r="CK567" s="145">
        <v>0</v>
      </c>
      <c r="CL567"/>
    </row>
    <row r="568" spans="1:90" s="79" customFormat="1">
      <c r="A568" s="79" t="s">
        <v>3606</v>
      </c>
      <c r="B568" s="79" t="s">
        <v>4043</v>
      </c>
      <c r="D568" s="79" t="s">
        <v>688</v>
      </c>
      <c r="E568" s="79" t="s">
        <v>4043</v>
      </c>
      <c r="F568" s="79" t="s">
        <v>3607</v>
      </c>
      <c r="G568" s="79" t="s">
        <v>2443</v>
      </c>
      <c r="H568" s="79" t="s">
        <v>1201</v>
      </c>
      <c r="I568" s="79" t="s">
        <v>1202</v>
      </c>
      <c r="J568" s="79" t="s">
        <v>1203</v>
      </c>
      <c r="K568" s="79" t="s">
        <v>565</v>
      </c>
      <c r="L568" s="79" t="s">
        <v>398</v>
      </c>
      <c r="M568" s="79" t="s">
        <v>399</v>
      </c>
      <c r="N568" s="79" t="s">
        <v>1909</v>
      </c>
      <c r="O568" s="79" t="s">
        <v>106</v>
      </c>
      <c r="P568" s="79">
        <v>4</v>
      </c>
      <c r="Q568" s="79" t="s">
        <v>106</v>
      </c>
      <c r="R568" s="79" t="s">
        <v>2727</v>
      </c>
      <c r="S568" s="79" t="s">
        <v>2764</v>
      </c>
      <c r="T568" s="79" t="s">
        <v>2703</v>
      </c>
      <c r="U568" s="79" t="s">
        <v>401</v>
      </c>
      <c r="V568" s="97"/>
      <c r="W568" s="97"/>
      <c r="X568" s="97"/>
      <c r="Y568" s="97"/>
      <c r="Z568" s="97"/>
      <c r="AA568" s="97"/>
      <c r="AB568" s="97"/>
      <c r="AC568" s="79" t="s">
        <v>401</v>
      </c>
      <c r="AD568" s="79">
        <v>252000</v>
      </c>
      <c r="AF568" s="79">
        <v>0</v>
      </c>
      <c r="AJ568" s="79">
        <v>1</v>
      </c>
      <c r="AK568" s="79">
        <v>1</v>
      </c>
      <c r="AL568" s="79">
        <v>2774</v>
      </c>
      <c r="AM568" s="79" t="s">
        <v>2693</v>
      </c>
      <c r="BK568" s="79" t="s">
        <v>2694</v>
      </c>
      <c r="BL568" s="79" t="s">
        <v>2704</v>
      </c>
      <c r="BM568" s="79" t="s">
        <v>2698</v>
      </c>
      <c r="BN568" s="79" t="s">
        <v>2696</v>
      </c>
      <c r="BO568" s="79" t="s">
        <v>2697</v>
      </c>
      <c r="BP568" s="79" t="s">
        <v>2698</v>
      </c>
      <c r="BQ568" s="79" t="s">
        <v>2699</v>
      </c>
      <c r="BR568" s="79" t="s">
        <v>2693</v>
      </c>
      <c r="BS568" s="79" t="s">
        <v>2699</v>
      </c>
      <c r="BT568" s="79" t="s">
        <v>2696</v>
      </c>
      <c r="BU568" s="79">
        <v>1</v>
      </c>
      <c r="BV568" s="79" t="s">
        <v>2696</v>
      </c>
      <c r="BW568" s="79" t="s">
        <v>2698</v>
      </c>
      <c r="BX568" s="79" t="s">
        <v>2696</v>
      </c>
      <c r="BY568" s="79" t="s">
        <v>2699</v>
      </c>
      <c r="BZ568" s="79" t="s">
        <v>2699</v>
      </c>
      <c r="CA568" s="79" t="s">
        <v>2693</v>
      </c>
      <c r="CB568" s="79" t="s">
        <v>2699</v>
      </c>
      <c r="CC568" s="79" t="s">
        <v>2699</v>
      </c>
      <c r="CD568" s="79" t="s">
        <v>2696</v>
      </c>
      <c r="CF568" s="81" t="s">
        <v>4084</v>
      </c>
      <c r="CG568" s="81" t="s">
        <v>4085</v>
      </c>
      <c r="CH568" s="79" t="s">
        <v>2693</v>
      </c>
      <c r="CI568" s="79" t="s">
        <v>2076</v>
      </c>
      <c r="CJ568" s="79" t="s">
        <v>2701</v>
      </c>
      <c r="CK568" s="145">
        <v>0</v>
      </c>
      <c r="CL568"/>
    </row>
    <row r="569" spans="1:90">
      <c r="A569" s="79" t="s">
        <v>3608</v>
      </c>
      <c r="B569" s="79" t="s">
        <v>4043</v>
      </c>
      <c r="C569" s="79"/>
      <c r="D569" s="79" t="s">
        <v>688</v>
      </c>
      <c r="E569" s="79" t="s">
        <v>4043</v>
      </c>
      <c r="F569" s="79" t="s">
        <v>3609</v>
      </c>
      <c r="G569" s="79" t="s">
        <v>2443</v>
      </c>
      <c r="H569" s="79" t="s">
        <v>1201</v>
      </c>
      <c r="I569" s="79" t="s">
        <v>1202</v>
      </c>
      <c r="J569" s="79" t="s">
        <v>1203</v>
      </c>
      <c r="K569" s="79" t="s">
        <v>565</v>
      </c>
      <c r="L569" s="79" t="s">
        <v>398</v>
      </c>
      <c r="M569" s="79" t="s">
        <v>399</v>
      </c>
      <c r="N569" s="79" t="s">
        <v>1909</v>
      </c>
      <c r="O569" s="79" t="s">
        <v>106</v>
      </c>
      <c r="P569" s="79">
        <v>4</v>
      </c>
      <c r="Q569" s="79" t="s">
        <v>106</v>
      </c>
      <c r="R569" s="79" t="s">
        <v>2727</v>
      </c>
      <c r="S569" s="79" t="s">
        <v>2764</v>
      </c>
      <c r="T569" s="79" t="s">
        <v>2703</v>
      </c>
      <c r="U569" s="79" t="s">
        <v>401</v>
      </c>
      <c r="AC569" s="79" t="s">
        <v>401</v>
      </c>
      <c r="AD569" s="79">
        <v>252000</v>
      </c>
      <c r="AE569" s="79"/>
      <c r="AF569" s="79">
        <v>0</v>
      </c>
      <c r="AG569" s="79"/>
      <c r="AH569" s="79"/>
      <c r="AI569" s="79"/>
      <c r="AJ569" s="79">
        <v>1</v>
      </c>
      <c r="AK569" s="79">
        <v>1</v>
      </c>
      <c r="AL569" s="79">
        <v>2774</v>
      </c>
      <c r="AM569" s="79" t="s">
        <v>2693</v>
      </c>
      <c r="AN569" s="79"/>
      <c r="AO569" s="79"/>
      <c r="AP569" s="79"/>
      <c r="AQ569" s="79"/>
      <c r="AR569" s="79"/>
      <c r="AS569" s="79"/>
      <c r="AT569" s="79"/>
      <c r="AU569" s="79"/>
      <c r="AV569" s="79"/>
      <c r="AW569" s="79"/>
      <c r="AX569" s="79"/>
      <c r="AY569" s="79"/>
      <c r="AZ569" s="79"/>
      <c r="BA569" s="79"/>
      <c r="BB569" s="79"/>
      <c r="BC569" s="79"/>
      <c r="BD569" s="79"/>
      <c r="BE569" s="79"/>
      <c r="BF569" s="79"/>
      <c r="BG569" s="79"/>
      <c r="BH569" s="79"/>
      <c r="BI569" s="79"/>
      <c r="BJ569" s="79"/>
      <c r="BK569" s="79" t="s">
        <v>2694</v>
      </c>
      <c r="BL569" s="79" t="s">
        <v>2704</v>
      </c>
      <c r="BM569" s="79" t="s">
        <v>2698</v>
      </c>
      <c r="BN569" s="79" t="s">
        <v>2696</v>
      </c>
      <c r="BO569" s="79" t="s">
        <v>2697</v>
      </c>
      <c r="BP569" s="79" t="s">
        <v>2698</v>
      </c>
      <c r="BQ569" s="79" t="s">
        <v>2699</v>
      </c>
      <c r="BR569" s="79" t="s">
        <v>2693</v>
      </c>
      <c r="BS569" s="79" t="s">
        <v>2699</v>
      </c>
      <c r="BT569" s="79" t="s">
        <v>2696</v>
      </c>
      <c r="BU569" s="79">
        <v>1</v>
      </c>
      <c r="BV569" s="79" t="s">
        <v>2696</v>
      </c>
      <c r="BW569" s="79" t="s">
        <v>2698</v>
      </c>
      <c r="BX569" s="79" t="s">
        <v>2696</v>
      </c>
      <c r="BY569" s="79" t="s">
        <v>2699</v>
      </c>
      <c r="BZ569" s="79" t="s">
        <v>2699</v>
      </c>
      <c r="CA569" s="79" t="s">
        <v>2693</v>
      </c>
      <c r="CB569" s="79" t="s">
        <v>2699</v>
      </c>
      <c r="CC569" s="79" t="s">
        <v>2699</v>
      </c>
      <c r="CD569" s="79" t="s">
        <v>2696</v>
      </c>
      <c r="CE569" s="79"/>
      <c r="CF569" s="81" t="s">
        <v>4086</v>
      </c>
      <c r="CG569" s="81" t="s">
        <v>4077</v>
      </c>
      <c r="CH569" s="79" t="s">
        <v>2693</v>
      </c>
      <c r="CI569" s="79" t="s">
        <v>2076</v>
      </c>
      <c r="CJ569" s="79" t="s">
        <v>2701</v>
      </c>
      <c r="CK569" s="145">
        <v>0</v>
      </c>
      <c r="CL569"/>
    </row>
    <row r="570" spans="1:90">
      <c r="A570" s="79" t="s">
        <v>3610</v>
      </c>
      <c r="B570" s="79" t="s">
        <v>4043</v>
      </c>
      <c r="C570" s="79"/>
      <c r="D570" s="79" t="s">
        <v>688</v>
      </c>
      <c r="E570" s="79" t="s">
        <v>4043</v>
      </c>
      <c r="F570" s="79" t="s">
        <v>3611</v>
      </c>
      <c r="G570" s="79" t="s">
        <v>2443</v>
      </c>
      <c r="H570" s="79" t="s">
        <v>1201</v>
      </c>
      <c r="I570" s="79" t="s">
        <v>1202</v>
      </c>
      <c r="J570" s="79" t="s">
        <v>1203</v>
      </c>
      <c r="K570" s="79" t="s">
        <v>565</v>
      </c>
      <c r="L570" s="79" t="s">
        <v>398</v>
      </c>
      <c r="M570" s="79" t="s">
        <v>399</v>
      </c>
      <c r="N570" s="79" t="s">
        <v>1909</v>
      </c>
      <c r="O570" s="79" t="s">
        <v>106</v>
      </c>
      <c r="P570" s="79">
        <v>4</v>
      </c>
      <c r="Q570" s="79" t="s">
        <v>106</v>
      </c>
      <c r="R570" s="79" t="s">
        <v>2727</v>
      </c>
      <c r="S570" s="79" t="s">
        <v>2764</v>
      </c>
      <c r="T570" s="79" t="s">
        <v>2703</v>
      </c>
      <c r="U570" s="79" t="s">
        <v>401</v>
      </c>
      <c r="AC570" s="79" t="s">
        <v>401</v>
      </c>
      <c r="AD570" s="79">
        <v>252000</v>
      </c>
      <c r="AE570" s="79"/>
      <c r="AF570" s="79">
        <v>0</v>
      </c>
      <c r="AG570" s="79"/>
      <c r="AH570" s="79"/>
      <c r="AI570" s="79"/>
      <c r="AJ570" s="79">
        <v>1</v>
      </c>
      <c r="AK570" s="79">
        <v>1</v>
      </c>
      <c r="AL570" s="79">
        <v>2774</v>
      </c>
      <c r="AM570" s="79" t="s">
        <v>2693</v>
      </c>
      <c r="AN570" s="79"/>
      <c r="AO570" s="79"/>
      <c r="AP570" s="79"/>
      <c r="AQ570" s="79"/>
      <c r="AR570" s="79"/>
      <c r="AS570" s="79"/>
      <c r="AT570" s="79"/>
      <c r="AU570" s="79"/>
      <c r="AV570" s="79"/>
      <c r="AW570" s="79"/>
      <c r="AX570" s="79"/>
      <c r="AY570" s="79"/>
      <c r="AZ570" s="79"/>
      <c r="BA570" s="79"/>
      <c r="BB570" s="79"/>
      <c r="BC570" s="79"/>
      <c r="BD570" s="79"/>
      <c r="BE570" s="79"/>
      <c r="BF570" s="79"/>
      <c r="BG570" s="79"/>
      <c r="BH570" s="79"/>
      <c r="BI570" s="79"/>
      <c r="BJ570" s="79"/>
      <c r="BK570" s="79" t="s">
        <v>2694</v>
      </c>
      <c r="BL570" s="79" t="s">
        <v>2704</v>
      </c>
      <c r="BM570" s="79" t="s">
        <v>2698</v>
      </c>
      <c r="BN570" s="79" t="s">
        <v>2696</v>
      </c>
      <c r="BO570" s="79" t="s">
        <v>2697</v>
      </c>
      <c r="BP570" s="79" t="s">
        <v>2698</v>
      </c>
      <c r="BQ570" s="79" t="s">
        <v>2699</v>
      </c>
      <c r="BR570" s="79" t="s">
        <v>2693</v>
      </c>
      <c r="BS570" s="79" t="s">
        <v>2699</v>
      </c>
      <c r="BT570" s="79" t="s">
        <v>2696</v>
      </c>
      <c r="BU570" s="79">
        <v>1</v>
      </c>
      <c r="BV570" s="79" t="s">
        <v>2696</v>
      </c>
      <c r="BW570" s="79" t="s">
        <v>2698</v>
      </c>
      <c r="BX570" s="79" t="s">
        <v>2696</v>
      </c>
      <c r="BY570" s="79" t="s">
        <v>2699</v>
      </c>
      <c r="BZ570" s="79" t="s">
        <v>2699</v>
      </c>
      <c r="CA570" s="79" t="s">
        <v>2693</v>
      </c>
      <c r="CB570" s="79" t="s">
        <v>2699</v>
      </c>
      <c r="CC570" s="79" t="s">
        <v>2699</v>
      </c>
      <c r="CD570" s="79" t="s">
        <v>2696</v>
      </c>
      <c r="CE570" s="79"/>
      <c r="CF570" s="81" t="s">
        <v>4087</v>
      </c>
      <c r="CG570" s="81" t="s">
        <v>4088</v>
      </c>
      <c r="CH570" s="79" t="s">
        <v>2693</v>
      </c>
      <c r="CI570" s="79" t="s">
        <v>2076</v>
      </c>
      <c r="CJ570" s="79" t="s">
        <v>2701</v>
      </c>
      <c r="CK570" s="145">
        <v>0</v>
      </c>
      <c r="CL570"/>
    </row>
    <row r="571" spans="1:90">
      <c r="A571" s="79" t="s">
        <v>3612</v>
      </c>
      <c r="B571" s="79" t="s">
        <v>4043</v>
      </c>
      <c r="C571" s="79"/>
      <c r="D571" s="79" t="s">
        <v>688</v>
      </c>
      <c r="E571" s="79" t="s">
        <v>4043</v>
      </c>
      <c r="F571" s="79" t="s">
        <v>1723</v>
      </c>
      <c r="G571" s="79" t="s">
        <v>2445</v>
      </c>
      <c r="H571" s="79" t="s">
        <v>1201</v>
      </c>
      <c r="I571" s="79" t="s">
        <v>1202</v>
      </c>
      <c r="J571" s="79" t="s">
        <v>1203</v>
      </c>
      <c r="K571" s="79" t="s">
        <v>565</v>
      </c>
      <c r="L571" s="79" t="s">
        <v>398</v>
      </c>
      <c r="M571" s="79" t="s">
        <v>399</v>
      </c>
      <c r="N571" s="79" t="s">
        <v>1909</v>
      </c>
      <c r="O571" s="79" t="s">
        <v>106</v>
      </c>
      <c r="P571" s="79">
        <v>4</v>
      </c>
      <c r="Q571" s="79" t="s">
        <v>106</v>
      </c>
      <c r="R571" s="79" t="s">
        <v>2727</v>
      </c>
      <c r="S571" s="79" t="s">
        <v>2764</v>
      </c>
      <c r="T571" s="79" t="s">
        <v>2703</v>
      </c>
      <c r="U571" s="79" t="s">
        <v>401</v>
      </c>
      <c r="AC571" s="79" t="s">
        <v>401</v>
      </c>
      <c r="AD571" s="79">
        <v>252000</v>
      </c>
      <c r="AE571" s="79"/>
      <c r="AF571" s="79">
        <v>0</v>
      </c>
      <c r="AG571" s="79"/>
      <c r="AH571" s="79"/>
      <c r="AI571" s="79"/>
      <c r="AJ571" s="79">
        <v>1</v>
      </c>
      <c r="AK571" s="79">
        <v>1</v>
      </c>
      <c r="AL571" s="79">
        <v>2774</v>
      </c>
      <c r="AM571" s="79" t="s">
        <v>2693</v>
      </c>
      <c r="AN571" s="79"/>
      <c r="AO571" s="79"/>
      <c r="AP571" s="79"/>
      <c r="AQ571" s="79"/>
      <c r="AR571" s="79"/>
      <c r="AS571" s="79"/>
      <c r="AT571" s="79"/>
      <c r="AU571" s="79"/>
      <c r="AV571" s="79"/>
      <c r="AW571" s="79"/>
      <c r="AX571" s="79"/>
      <c r="AY571" s="79"/>
      <c r="AZ571" s="79"/>
      <c r="BA571" s="79"/>
      <c r="BB571" s="79"/>
      <c r="BC571" s="79"/>
      <c r="BD571" s="79"/>
      <c r="BE571" s="79"/>
      <c r="BF571" s="79"/>
      <c r="BG571" s="79"/>
      <c r="BH571" s="79"/>
      <c r="BI571" s="79"/>
      <c r="BJ571" s="79"/>
      <c r="BK571" s="79" t="s">
        <v>2694</v>
      </c>
      <c r="BL571" s="79" t="s">
        <v>2704</v>
      </c>
      <c r="BM571" s="79" t="s">
        <v>2698</v>
      </c>
      <c r="BN571" s="79" t="s">
        <v>2696</v>
      </c>
      <c r="BO571" s="79" t="s">
        <v>2697</v>
      </c>
      <c r="BP571" s="79" t="s">
        <v>2698</v>
      </c>
      <c r="BQ571" s="79" t="s">
        <v>2699</v>
      </c>
      <c r="BR571" s="79" t="s">
        <v>2693</v>
      </c>
      <c r="BS571" s="79" t="s">
        <v>2699</v>
      </c>
      <c r="BT571" s="79" t="s">
        <v>2696</v>
      </c>
      <c r="BU571" s="79">
        <v>1</v>
      </c>
      <c r="BV571" s="79" t="s">
        <v>2696</v>
      </c>
      <c r="BW571" s="79" t="s">
        <v>2698</v>
      </c>
      <c r="BX571" s="79" t="s">
        <v>2696</v>
      </c>
      <c r="BY571" s="79" t="s">
        <v>2699</v>
      </c>
      <c r="BZ571" s="79" t="s">
        <v>2699</v>
      </c>
      <c r="CA571" s="79" t="s">
        <v>2693</v>
      </c>
      <c r="CB571" s="79" t="s">
        <v>2699</v>
      </c>
      <c r="CC571" s="79" t="s">
        <v>2699</v>
      </c>
      <c r="CD571" s="79" t="s">
        <v>2696</v>
      </c>
      <c r="CE571" s="79"/>
      <c r="CF571" s="81" t="s">
        <v>4089</v>
      </c>
      <c r="CG571" s="81" t="s">
        <v>4021</v>
      </c>
      <c r="CH571" s="79" t="s">
        <v>2693</v>
      </c>
      <c r="CI571" s="79" t="s">
        <v>2076</v>
      </c>
      <c r="CJ571" s="79" t="s">
        <v>2701</v>
      </c>
      <c r="CK571" s="145">
        <v>0</v>
      </c>
      <c r="CL571"/>
    </row>
    <row r="572" spans="1:90" s="79" customFormat="1">
      <c r="A572" s="79" t="s">
        <v>3575</v>
      </c>
      <c r="B572" s="79" t="s">
        <v>4032</v>
      </c>
      <c r="D572" s="79" t="s">
        <v>688</v>
      </c>
      <c r="E572" s="79" t="s">
        <v>4032</v>
      </c>
      <c r="F572" s="79" t="s">
        <v>3314</v>
      </c>
      <c r="G572" s="79" t="s">
        <v>2445</v>
      </c>
      <c r="H572" s="79" t="s">
        <v>1201</v>
      </c>
      <c r="I572" s="79" t="s">
        <v>1202</v>
      </c>
      <c r="J572" s="79" t="s">
        <v>1203</v>
      </c>
      <c r="K572" s="79" t="s">
        <v>565</v>
      </c>
      <c r="L572" s="79" t="s">
        <v>398</v>
      </c>
      <c r="M572" s="79" t="s">
        <v>399</v>
      </c>
      <c r="N572" s="79" t="s">
        <v>1909</v>
      </c>
      <c r="O572" s="79" t="s">
        <v>106</v>
      </c>
      <c r="P572" s="79">
        <v>4</v>
      </c>
      <c r="Q572" s="79" t="s">
        <v>106</v>
      </c>
      <c r="R572" s="79" t="s">
        <v>2727</v>
      </c>
      <c r="S572" s="79" t="s">
        <v>2764</v>
      </c>
      <c r="T572" s="79" t="s">
        <v>2703</v>
      </c>
      <c r="U572" s="79" t="s">
        <v>401</v>
      </c>
      <c r="V572" s="97"/>
      <c r="W572" s="97"/>
      <c r="X572" s="97"/>
      <c r="Y572" s="97"/>
      <c r="Z572" s="97"/>
      <c r="AA572" s="97"/>
      <c r="AB572" s="97"/>
      <c r="AC572" s="79" t="s">
        <v>401</v>
      </c>
      <c r="AD572" s="79">
        <v>252000</v>
      </c>
      <c r="AF572" s="79">
        <v>0</v>
      </c>
      <c r="AJ572" s="79">
        <v>1</v>
      </c>
      <c r="AK572" s="79">
        <v>1</v>
      </c>
      <c r="AL572" s="79">
        <v>2774</v>
      </c>
      <c r="AM572" s="79" t="s">
        <v>2693</v>
      </c>
      <c r="BK572" s="79" t="s">
        <v>2694</v>
      </c>
      <c r="BL572" s="79" t="s">
        <v>2704</v>
      </c>
      <c r="BM572" s="79" t="s">
        <v>2698</v>
      </c>
      <c r="BN572" s="79" t="s">
        <v>2696</v>
      </c>
      <c r="BO572" s="79" t="s">
        <v>2697</v>
      </c>
      <c r="BP572" s="79" t="s">
        <v>2698</v>
      </c>
      <c r="BQ572" s="79" t="s">
        <v>2699</v>
      </c>
      <c r="BR572" s="79" t="s">
        <v>2693</v>
      </c>
      <c r="BS572" s="79" t="s">
        <v>2699</v>
      </c>
      <c r="BT572" s="79" t="s">
        <v>2696</v>
      </c>
      <c r="BU572" s="79">
        <v>1</v>
      </c>
      <c r="BV572" s="79" t="s">
        <v>2696</v>
      </c>
      <c r="BW572" s="79" t="s">
        <v>2698</v>
      </c>
      <c r="BX572" s="79" t="s">
        <v>2696</v>
      </c>
      <c r="BY572" s="79" t="s">
        <v>2699</v>
      </c>
      <c r="BZ572" s="79" t="s">
        <v>2699</v>
      </c>
      <c r="CA572" s="79" t="s">
        <v>2693</v>
      </c>
      <c r="CB572" s="79" t="s">
        <v>2699</v>
      </c>
      <c r="CC572" s="79" t="s">
        <v>2699</v>
      </c>
      <c r="CD572" s="79" t="s">
        <v>2696</v>
      </c>
      <c r="CF572" s="81" t="s">
        <v>4056</v>
      </c>
      <c r="CG572" s="81" t="s">
        <v>4057</v>
      </c>
      <c r="CH572" s="79" t="s">
        <v>2693</v>
      </c>
      <c r="CI572" s="79" t="s">
        <v>2076</v>
      </c>
      <c r="CJ572" s="79" t="s">
        <v>2701</v>
      </c>
      <c r="CK572" s="145">
        <v>0</v>
      </c>
      <c r="CL572"/>
    </row>
    <row r="573" spans="1:90">
      <c r="A573" s="79" t="s">
        <v>3637</v>
      </c>
      <c r="B573" s="79" t="s">
        <v>4043</v>
      </c>
      <c r="C573" s="79"/>
      <c r="D573" s="79" t="s">
        <v>688</v>
      </c>
      <c r="E573" s="79" t="s">
        <v>4043</v>
      </c>
      <c r="F573" s="79" t="s">
        <v>3638</v>
      </c>
      <c r="G573" s="79" t="s">
        <v>2447</v>
      </c>
      <c r="H573" s="79" t="s">
        <v>1201</v>
      </c>
      <c r="I573" s="79" t="s">
        <v>1202</v>
      </c>
      <c r="J573" s="79" t="s">
        <v>1203</v>
      </c>
      <c r="K573" s="79" t="s">
        <v>565</v>
      </c>
      <c r="L573" s="79" t="s">
        <v>398</v>
      </c>
      <c r="M573" s="79" t="s">
        <v>399</v>
      </c>
      <c r="N573" s="79" t="s">
        <v>1909</v>
      </c>
      <c r="O573" s="79" t="s">
        <v>106</v>
      </c>
      <c r="P573" s="79">
        <v>4</v>
      </c>
      <c r="Q573" s="79" t="s">
        <v>106</v>
      </c>
      <c r="R573" s="79" t="s">
        <v>2727</v>
      </c>
      <c r="S573" s="79" t="s">
        <v>2764</v>
      </c>
      <c r="T573" s="79" t="s">
        <v>2703</v>
      </c>
      <c r="U573" s="79" t="s">
        <v>401</v>
      </c>
      <c r="AC573" s="79" t="s">
        <v>401</v>
      </c>
      <c r="AD573" s="79">
        <v>235000</v>
      </c>
      <c r="AE573" s="79"/>
      <c r="AF573" s="79">
        <v>0</v>
      </c>
      <c r="AG573" s="79"/>
      <c r="AH573" s="79"/>
      <c r="AI573" s="79"/>
      <c r="AJ573" s="79">
        <v>1</v>
      </c>
      <c r="AK573" s="79">
        <v>1</v>
      </c>
      <c r="AL573" s="79">
        <v>2358</v>
      </c>
      <c r="AM573" s="79" t="s">
        <v>2693</v>
      </c>
      <c r="AN573" s="79"/>
      <c r="AO573" s="79"/>
      <c r="AP573" s="79"/>
      <c r="AQ573" s="79"/>
      <c r="AR573" s="79"/>
      <c r="AS573" s="79"/>
      <c r="AT573" s="79"/>
      <c r="AU573" s="79"/>
      <c r="AV573" s="79"/>
      <c r="AW573" s="79"/>
      <c r="AX573" s="79"/>
      <c r="AY573" s="79"/>
      <c r="AZ573" s="79"/>
      <c r="BA573" s="79"/>
      <c r="BB573" s="79"/>
      <c r="BC573" s="79"/>
      <c r="BD573" s="79"/>
      <c r="BE573" s="79"/>
      <c r="BF573" s="79"/>
      <c r="BG573" s="79"/>
      <c r="BH573" s="79"/>
      <c r="BI573" s="79"/>
      <c r="BJ573" s="79"/>
      <c r="BK573" s="79" t="s">
        <v>2694</v>
      </c>
      <c r="BL573" s="79" t="s">
        <v>2704</v>
      </c>
      <c r="BM573" s="79" t="s">
        <v>2698</v>
      </c>
      <c r="BN573" s="79" t="s">
        <v>2696</v>
      </c>
      <c r="BO573" s="79" t="s">
        <v>2697</v>
      </c>
      <c r="BP573" s="79" t="s">
        <v>2698</v>
      </c>
      <c r="BQ573" s="79" t="s">
        <v>2699</v>
      </c>
      <c r="BR573" s="79" t="s">
        <v>2693</v>
      </c>
      <c r="BS573" s="79" t="s">
        <v>2699</v>
      </c>
      <c r="BT573" s="79" t="s">
        <v>2696</v>
      </c>
      <c r="BU573" s="79">
        <v>1</v>
      </c>
      <c r="BV573" s="79" t="s">
        <v>2696</v>
      </c>
      <c r="BW573" s="79" t="s">
        <v>2698</v>
      </c>
      <c r="BX573" s="79" t="s">
        <v>2696</v>
      </c>
      <c r="BY573" s="79" t="s">
        <v>2699</v>
      </c>
      <c r="BZ573" s="79" t="s">
        <v>2699</v>
      </c>
      <c r="CA573" s="79" t="s">
        <v>2693</v>
      </c>
      <c r="CB573" s="79" t="s">
        <v>2699</v>
      </c>
      <c r="CC573" s="79" t="s">
        <v>2699</v>
      </c>
      <c r="CD573" s="79" t="s">
        <v>2696</v>
      </c>
      <c r="CE573" s="79"/>
      <c r="CF573" s="81" t="s">
        <v>4106</v>
      </c>
      <c r="CG573" s="81" t="s">
        <v>4107</v>
      </c>
      <c r="CH573" s="79" t="s">
        <v>2693</v>
      </c>
      <c r="CI573" s="79" t="s">
        <v>2076</v>
      </c>
      <c r="CJ573" s="79" t="s">
        <v>2701</v>
      </c>
      <c r="CK573" s="145">
        <v>0</v>
      </c>
      <c r="CL573"/>
    </row>
    <row r="574" spans="1:90">
      <c r="A574" s="79" t="s">
        <v>3613</v>
      </c>
      <c r="B574" s="79" t="s">
        <v>4043</v>
      </c>
      <c r="C574" s="79"/>
      <c r="D574" s="79" t="s">
        <v>688</v>
      </c>
      <c r="E574" s="79" t="s">
        <v>4043</v>
      </c>
      <c r="F574" s="79" t="s">
        <v>3614</v>
      </c>
      <c r="G574" s="79" t="s">
        <v>2445</v>
      </c>
      <c r="H574" s="79" t="s">
        <v>1201</v>
      </c>
      <c r="I574" s="79" t="s">
        <v>1202</v>
      </c>
      <c r="J574" s="79" t="s">
        <v>1203</v>
      </c>
      <c r="K574" s="79" t="s">
        <v>565</v>
      </c>
      <c r="L574" s="79" t="s">
        <v>398</v>
      </c>
      <c r="M574" s="79" t="s">
        <v>399</v>
      </c>
      <c r="N574" s="79" t="s">
        <v>1909</v>
      </c>
      <c r="O574" s="79" t="s">
        <v>106</v>
      </c>
      <c r="P574" s="79">
        <v>4</v>
      </c>
      <c r="Q574" s="79" t="s">
        <v>106</v>
      </c>
      <c r="R574" s="79" t="s">
        <v>2727</v>
      </c>
      <c r="S574" s="79" t="s">
        <v>2764</v>
      </c>
      <c r="T574" s="79" t="s">
        <v>2703</v>
      </c>
      <c r="U574" s="79" t="s">
        <v>401</v>
      </c>
      <c r="AC574" s="79" t="s">
        <v>401</v>
      </c>
      <c r="AD574" s="79">
        <v>252000</v>
      </c>
      <c r="AE574" s="79"/>
      <c r="AF574" s="79">
        <v>0</v>
      </c>
      <c r="AG574" s="79"/>
      <c r="AH574" s="79"/>
      <c r="AI574" s="79"/>
      <c r="AJ574" s="79">
        <v>1</v>
      </c>
      <c r="AK574" s="79">
        <v>1</v>
      </c>
      <c r="AL574" s="79">
        <v>2774</v>
      </c>
      <c r="AM574" s="79" t="s">
        <v>2693</v>
      </c>
      <c r="AN574" s="79"/>
      <c r="AO574" s="79"/>
      <c r="AP574" s="79"/>
      <c r="AQ574" s="79"/>
      <c r="AR574" s="79"/>
      <c r="AS574" s="79"/>
      <c r="AT574" s="79"/>
      <c r="AU574" s="79"/>
      <c r="AV574" s="79"/>
      <c r="AW574" s="79"/>
      <c r="AX574" s="79"/>
      <c r="AY574" s="79"/>
      <c r="AZ574" s="79"/>
      <c r="BA574" s="79"/>
      <c r="BB574" s="79"/>
      <c r="BC574" s="79"/>
      <c r="BD574" s="79"/>
      <c r="BE574" s="79"/>
      <c r="BF574" s="79"/>
      <c r="BG574" s="79"/>
      <c r="BH574" s="79"/>
      <c r="BI574" s="79"/>
      <c r="BJ574" s="79"/>
      <c r="BK574" s="79" t="s">
        <v>2694</v>
      </c>
      <c r="BL574" s="79" t="s">
        <v>2704</v>
      </c>
      <c r="BM574" s="79" t="s">
        <v>2698</v>
      </c>
      <c r="BN574" s="79" t="s">
        <v>2696</v>
      </c>
      <c r="BO574" s="79" t="s">
        <v>2697</v>
      </c>
      <c r="BP574" s="79" t="s">
        <v>2698</v>
      </c>
      <c r="BQ574" s="79" t="s">
        <v>2699</v>
      </c>
      <c r="BR574" s="79" t="s">
        <v>2693</v>
      </c>
      <c r="BS574" s="79" t="s">
        <v>2699</v>
      </c>
      <c r="BT574" s="79" t="s">
        <v>2696</v>
      </c>
      <c r="BU574" s="79">
        <v>1</v>
      </c>
      <c r="BV574" s="79" t="s">
        <v>2696</v>
      </c>
      <c r="BW574" s="79" t="s">
        <v>2698</v>
      </c>
      <c r="BX574" s="79" t="s">
        <v>2696</v>
      </c>
      <c r="BY574" s="79" t="s">
        <v>2699</v>
      </c>
      <c r="BZ574" s="79" t="s">
        <v>2699</v>
      </c>
      <c r="CA574" s="79" t="s">
        <v>2693</v>
      </c>
      <c r="CB574" s="79" t="s">
        <v>2699</v>
      </c>
      <c r="CC574" s="79" t="s">
        <v>2699</v>
      </c>
      <c r="CD574" s="79" t="s">
        <v>2696</v>
      </c>
      <c r="CE574" s="79"/>
      <c r="CF574" s="81" t="s">
        <v>4090</v>
      </c>
      <c r="CG574" s="81" t="s">
        <v>4072</v>
      </c>
      <c r="CH574" s="79" t="s">
        <v>2693</v>
      </c>
      <c r="CI574" s="79" t="s">
        <v>2076</v>
      </c>
      <c r="CJ574" s="79" t="s">
        <v>2701</v>
      </c>
      <c r="CK574" s="145">
        <v>0</v>
      </c>
      <c r="CL574"/>
    </row>
    <row r="575" spans="1:90" s="79" customFormat="1">
      <c r="A575" s="79" t="s">
        <v>3615</v>
      </c>
      <c r="B575" s="79" t="s">
        <v>4043</v>
      </c>
      <c r="D575" s="79" t="s">
        <v>688</v>
      </c>
      <c r="E575" s="79" t="s">
        <v>4043</v>
      </c>
      <c r="F575" s="79" t="s">
        <v>3616</v>
      </c>
      <c r="G575" s="79" t="s">
        <v>2445</v>
      </c>
      <c r="H575" s="79" t="s">
        <v>1201</v>
      </c>
      <c r="I575" s="79" t="s">
        <v>1202</v>
      </c>
      <c r="J575" s="79" t="s">
        <v>1203</v>
      </c>
      <c r="K575" s="79" t="s">
        <v>565</v>
      </c>
      <c r="L575" s="79" t="s">
        <v>398</v>
      </c>
      <c r="M575" s="79" t="s">
        <v>399</v>
      </c>
      <c r="N575" s="79" t="s">
        <v>1909</v>
      </c>
      <c r="O575" s="79" t="s">
        <v>106</v>
      </c>
      <c r="P575" s="79">
        <v>4</v>
      </c>
      <c r="Q575" s="79" t="s">
        <v>106</v>
      </c>
      <c r="R575" s="79" t="s">
        <v>2727</v>
      </c>
      <c r="S575" s="79" t="s">
        <v>2764</v>
      </c>
      <c r="T575" s="79" t="s">
        <v>2703</v>
      </c>
      <c r="U575" s="79" t="s">
        <v>401</v>
      </c>
      <c r="V575" s="97"/>
      <c r="W575" s="97"/>
      <c r="X575" s="97"/>
      <c r="Y575" s="97"/>
      <c r="Z575" s="97"/>
      <c r="AA575" s="97"/>
      <c r="AB575" s="97"/>
      <c r="AC575" s="79" t="s">
        <v>401</v>
      </c>
      <c r="AD575" s="79">
        <v>252000</v>
      </c>
      <c r="AF575" s="79">
        <v>0</v>
      </c>
      <c r="AJ575" s="79">
        <v>1</v>
      </c>
      <c r="AK575" s="79">
        <v>1</v>
      </c>
      <c r="AL575" s="79">
        <v>2774</v>
      </c>
      <c r="AM575" s="79" t="s">
        <v>2693</v>
      </c>
      <c r="BK575" s="79" t="s">
        <v>2694</v>
      </c>
      <c r="BL575" s="79" t="s">
        <v>2704</v>
      </c>
      <c r="BM575" s="79" t="s">
        <v>2698</v>
      </c>
      <c r="BN575" s="79" t="s">
        <v>2696</v>
      </c>
      <c r="BO575" s="79" t="s">
        <v>2697</v>
      </c>
      <c r="BP575" s="79" t="s">
        <v>2698</v>
      </c>
      <c r="BQ575" s="79" t="s">
        <v>2699</v>
      </c>
      <c r="BR575" s="79" t="s">
        <v>2693</v>
      </c>
      <c r="BS575" s="79" t="s">
        <v>2699</v>
      </c>
      <c r="BT575" s="79" t="s">
        <v>2696</v>
      </c>
      <c r="BU575" s="79">
        <v>1</v>
      </c>
      <c r="BV575" s="79" t="s">
        <v>2696</v>
      </c>
      <c r="BW575" s="79" t="s">
        <v>2698</v>
      </c>
      <c r="BX575" s="79" t="s">
        <v>2696</v>
      </c>
      <c r="BY575" s="79" t="s">
        <v>2699</v>
      </c>
      <c r="BZ575" s="79" t="s">
        <v>2699</v>
      </c>
      <c r="CA575" s="79" t="s">
        <v>2693</v>
      </c>
      <c r="CB575" s="79" t="s">
        <v>2699</v>
      </c>
      <c r="CC575" s="79" t="s">
        <v>2699</v>
      </c>
      <c r="CD575" s="79" t="s">
        <v>2696</v>
      </c>
      <c r="CF575" s="81" t="s">
        <v>4091</v>
      </c>
      <c r="CG575" s="81" t="s">
        <v>2467</v>
      </c>
      <c r="CH575" s="79" t="s">
        <v>2693</v>
      </c>
      <c r="CI575" s="79" t="s">
        <v>2076</v>
      </c>
      <c r="CJ575" s="79" t="s">
        <v>2701</v>
      </c>
      <c r="CK575" s="145">
        <v>0</v>
      </c>
      <c r="CL575"/>
    </row>
    <row r="576" spans="1:90">
      <c r="A576" s="79" t="s">
        <v>3639</v>
      </c>
      <c r="B576" s="79" t="s">
        <v>4043</v>
      </c>
      <c r="C576" s="79"/>
      <c r="D576" s="79" t="s">
        <v>688</v>
      </c>
      <c r="E576" s="79" t="s">
        <v>4043</v>
      </c>
      <c r="F576" s="79" t="s">
        <v>3640</v>
      </c>
      <c r="G576" s="79" t="s">
        <v>2447</v>
      </c>
      <c r="H576" s="79" t="s">
        <v>1201</v>
      </c>
      <c r="I576" s="79" t="s">
        <v>1202</v>
      </c>
      <c r="J576" s="79" t="s">
        <v>1203</v>
      </c>
      <c r="K576" s="79" t="s">
        <v>565</v>
      </c>
      <c r="L576" s="79" t="s">
        <v>398</v>
      </c>
      <c r="M576" s="79" t="s">
        <v>399</v>
      </c>
      <c r="N576" s="79" t="s">
        <v>1909</v>
      </c>
      <c r="O576" s="79" t="s">
        <v>106</v>
      </c>
      <c r="P576" s="79">
        <v>4</v>
      </c>
      <c r="Q576" s="79" t="s">
        <v>106</v>
      </c>
      <c r="R576" s="79" t="s">
        <v>2727</v>
      </c>
      <c r="S576" s="79" t="s">
        <v>2764</v>
      </c>
      <c r="T576" s="79" t="s">
        <v>2703</v>
      </c>
      <c r="U576" s="79" t="s">
        <v>401</v>
      </c>
      <c r="AC576" s="79" t="s">
        <v>401</v>
      </c>
      <c r="AD576" s="79">
        <v>235000</v>
      </c>
      <c r="AE576" s="79"/>
      <c r="AF576" s="79">
        <v>0</v>
      </c>
      <c r="AG576" s="79"/>
      <c r="AH576" s="79"/>
      <c r="AI576" s="79"/>
      <c r="AJ576" s="79">
        <v>1</v>
      </c>
      <c r="AK576" s="79">
        <v>1</v>
      </c>
      <c r="AL576" s="79">
        <v>2358</v>
      </c>
      <c r="AM576" s="79" t="s">
        <v>2693</v>
      </c>
      <c r="AN576" s="79"/>
      <c r="AO576" s="79"/>
      <c r="AP576" s="79"/>
      <c r="AQ576" s="79"/>
      <c r="AR576" s="79"/>
      <c r="AS576" s="79"/>
      <c r="AT576" s="79"/>
      <c r="AU576" s="79"/>
      <c r="AV576" s="79"/>
      <c r="AW576" s="79"/>
      <c r="AX576" s="79"/>
      <c r="AY576" s="79"/>
      <c r="AZ576" s="79"/>
      <c r="BA576" s="79"/>
      <c r="BB576" s="79"/>
      <c r="BC576" s="79"/>
      <c r="BD576" s="79"/>
      <c r="BE576" s="79"/>
      <c r="BF576" s="79"/>
      <c r="BG576" s="79"/>
      <c r="BH576" s="79"/>
      <c r="BI576" s="79"/>
      <c r="BJ576" s="79"/>
      <c r="BK576" s="79" t="s">
        <v>2694</v>
      </c>
      <c r="BL576" s="79" t="s">
        <v>2704</v>
      </c>
      <c r="BM576" s="79" t="s">
        <v>2698</v>
      </c>
      <c r="BN576" s="79" t="s">
        <v>2696</v>
      </c>
      <c r="BO576" s="79" t="s">
        <v>2697</v>
      </c>
      <c r="BP576" s="79" t="s">
        <v>2698</v>
      </c>
      <c r="BQ576" s="79" t="s">
        <v>2699</v>
      </c>
      <c r="BR576" s="79" t="s">
        <v>2693</v>
      </c>
      <c r="BS576" s="79" t="s">
        <v>2699</v>
      </c>
      <c r="BT576" s="79" t="s">
        <v>2696</v>
      </c>
      <c r="BU576" s="79">
        <v>1</v>
      </c>
      <c r="BV576" s="79" t="s">
        <v>2696</v>
      </c>
      <c r="BW576" s="79" t="s">
        <v>2698</v>
      </c>
      <c r="BX576" s="79" t="s">
        <v>2696</v>
      </c>
      <c r="BY576" s="79" t="s">
        <v>2699</v>
      </c>
      <c r="BZ576" s="79" t="s">
        <v>2699</v>
      </c>
      <c r="CA576" s="79" t="s">
        <v>2693</v>
      </c>
      <c r="CB576" s="79" t="s">
        <v>2699</v>
      </c>
      <c r="CC576" s="79" t="s">
        <v>2699</v>
      </c>
      <c r="CD576" s="79" t="s">
        <v>2696</v>
      </c>
      <c r="CE576" s="79"/>
      <c r="CF576" s="81" t="s">
        <v>4108</v>
      </c>
      <c r="CG576" s="81" t="s">
        <v>4085</v>
      </c>
      <c r="CH576" s="79" t="s">
        <v>2693</v>
      </c>
      <c r="CI576" s="79" t="s">
        <v>2076</v>
      </c>
      <c r="CJ576" s="79" t="s">
        <v>2701</v>
      </c>
      <c r="CK576" s="145">
        <v>0</v>
      </c>
      <c r="CL576"/>
    </row>
    <row r="577" spans="1:90">
      <c r="A577" s="79" t="s">
        <v>3617</v>
      </c>
      <c r="B577" s="79" t="s">
        <v>4043</v>
      </c>
      <c r="C577" s="79"/>
      <c r="D577" s="79" t="s">
        <v>688</v>
      </c>
      <c r="E577" s="79" t="s">
        <v>4043</v>
      </c>
      <c r="F577" s="79" t="s">
        <v>3618</v>
      </c>
      <c r="G577" s="79" t="s">
        <v>2445</v>
      </c>
      <c r="H577" s="79" t="s">
        <v>1201</v>
      </c>
      <c r="I577" s="79" t="s">
        <v>1202</v>
      </c>
      <c r="J577" s="79" t="s">
        <v>1203</v>
      </c>
      <c r="K577" s="79" t="s">
        <v>565</v>
      </c>
      <c r="L577" s="79" t="s">
        <v>398</v>
      </c>
      <c r="M577" s="79" t="s">
        <v>399</v>
      </c>
      <c r="N577" s="79" t="s">
        <v>1909</v>
      </c>
      <c r="O577" s="79" t="s">
        <v>106</v>
      </c>
      <c r="P577" s="79">
        <v>4</v>
      </c>
      <c r="Q577" s="79" t="s">
        <v>106</v>
      </c>
      <c r="R577" s="79" t="s">
        <v>2727</v>
      </c>
      <c r="S577" s="79" t="s">
        <v>2764</v>
      </c>
      <c r="T577" s="79" t="s">
        <v>2703</v>
      </c>
      <c r="U577" s="79" t="s">
        <v>401</v>
      </c>
      <c r="AC577" s="79" t="s">
        <v>401</v>
      </c>
      <c r="AD577" s="79">
        <v>252000</v>
      </c>
      <c r="AE577" s="79"/>
      <c r="AF577" s="79">
        <v>0</v>
      </c>
      <c r="AG577" s="79"/>
      <c r="AH577" s="79"/>
      <c r="AI577" s="79"/>
      <c r="AJ577" s="79">
        <v>1</v>
      </c>
      <c r="AK577" s="79">
        <v>1</v>
      </c>
      <c r="AL577" s="79">
        <v>2774</v>
      </c>
      <c r="AM577" s="79" t="s">
        <v>2693</v>
      </c>
      <c r="AN577" s="79"/>
      <c r="AO577" s="79"/>
      <c r="AP577" s="79"/>
      <c r="AQ577" s="79"/>
      <c r="AR577" s="79"/>
      <c r="AS577" s="79"/>
      <c r="AT577" s="79"/>
      <c r="AU577" s="79"/>
      <c r="AV577" s="79"/>
      <c r="AW577" s="79"/>
      <c r="AX577" s="79"/>
      <c r="AY577" s="79"/>
      <c r="AZ577" s="79"/>
      <c r="BA577" s="79"/>
      <c r="BB577" s="79"/>
      <c r="BC577" s="79"/>
      <c r="BD577" s="79"/>
      <c r="BE577" s="79"/>
      <c r="BF577" s="79"/>
      <c r="BG577" s="79"/>
      <c r="BH577" s="79"/>
      <c r="BI577" s="79"/>
      <c r="BJ577" s="79"/>
      <c r="BK577" s="79" t="s">
        <v>2694</v>
      </c>
      <c r="BL577" s="79" t="s">
        <v>2704</v>
      </c>
      <c r="BM577" s="79" t="s">
        <v>2698</v>
      </c>
      <c r="BN577" s="79" t="s">
        <v>2696</v>
      </c>
      <c r="BO577" s="79" t="s">
        <v>2697</v>
      </c>
      <c r="BP577" s="79" t="s">
        <v>2698</v>
      </c>
      <c r="BQ577" s="79" t="s">
        <v>2699</v>
      </c>
      <c r="BR577" s="79" t="s">
        <v>2693</v>
      </c>
      <c r="BS577" s="79" t="s">
        <v>2699</v>
      </c>
      <c r="BT577" s="79" t="s">
        <v>2696</v>
      </c>
      <c r="BU577" s="79">
        <v>1</v>
      </c>
      <c r="BV577" s="79" t="s">
        <v>2696</v>
      </c>
      <c r="BW577" s="79" t="s">
        <v>2698</v>
      </c>
      <c r="BX577" s="79" t="s">
        <v>2696</v>
      </c>
      <c r="BY577" s="79" t="s">
        <v>2699</v>
      </c>
      <c r="BZ577" s="79" t="s">
        <v>2699</v>
      </c>
      <c r="CA577" s="79" t="s">
        <v>2693</v>
      </c>
      <c r="CB577" s="79" t="s">
        <v>2699</v>
      </c>
      <c r="CC577" s="79" t="s">
        <v>2699</v>
      </c>
      <c r="CD577" s="79" t="s">
        <v>2696</v>
      </c>
      <c r="CE577" s="79"/>
      <c r="CF577" s="81" t="s">
        <v>4092</v>
      </c>
      <c r="CG577" s="81" t="s">
        <v>4093</v>
      </c>
      <c r="CH577" s="79" t="s">
        <v>2693</v>
      </c>
      <c r="CI577" s="79" t="s">
        <v>2076</v>
      </c>
      <c r="CJ577" s="79" t="s">
        <v>2701</v>
      </c>
      <c r="CK577" s="145">
        <v>0</v>
      </c>
      <c r="CL577"/>
    </row>
    <row r="578" spans="1:90">
      <c r="A578" s="79" t="s">
        <v>3619</v>
      </c>
      <c r="B578" s="79" t="s">
        <v>4043</v>
      </c>
      <c r="C578" s="79"/>
      <c r="D578" s="79" t="s">
        <v>688</v>
      </c>
      <c r="E578" s="79" t="s">
        <v>4043</v>
      </c>
      <c r="F578" s="79" t="s">
        <v>3620</v>
      </c>
      <c r="G578" s="79" t="s">
        <v>2445</v>
      </c>
      <c r="H578" s="79" t="s">
        <v>1201</v>
      </c>
      <c r="I578" s="79" t="s">
        <v>1202</v>
      </c>
      <c r="J578" s="79" t="s">
        <v>1203</v>
      </c>
      <c r="K578" s="79" t="s">
        <v>565</v>
      </c>
      <c r="L578" s="79" t="s">
        <v>398</v>
      </c>
      <c r="M578" s="79" t="s">
        <v>399</v>
      </c>
      <c r="N578" s="79" t="s">
        <v>1909</v>
      </c>
      <c r="O578" s="79" t="s">
        <v>106</v>
      </c>
      <c r="P578" s="79">
        <v>4</v>
      </c>
      <c r="Q578" s="79" t="s">
        <v>106</v>
      </c>
      <c r="R578" s="79" t="s">
        <v>2727</v>
      </c>
      <c r="S578" s="79" t="s">
        <v>2764</v>
      </c>
      <c r="T578" s="79" t="s">
        <v>2703</v>
      </c>
      <c r="U578" s="79" t="s">
        <v>401</v>
      </c>
      <c r="AC578" s="79" t="s">
        <v>401</v>
      </c>
      <c r="AD578" s="79">
        <v>252000</v>
      </c>
      <c r="AE578" s="79"/>
      <c r="AF578" s="79">
        <v>0</v>
      </c>
      <c r="AG578" s="79"/>
      <c r="AH578" s="79"/>
      <c r="AI578" s="79"/>
      <c r="AJ578" s="79">
        <v>1</v>
      </c>
      <c r="AK578" s="79">
        <v>1</v>
      </c>
      <c r="AL578" s="79">
        <v>2774</v>
      </c>
      <c r="AM578" s="79" t="s">
        <v>2693</v>
      </c>
      <c r="AN578" s="79"/>
      <c r="AO578" s="79"/>
      <c r="AP578" s="79"/>
      <c r="AQ578" s="79"/>
      <c r="AR578" s="79"/>
      <c r="AS578" s="79"/>
      <c r="AT578" s="79"/>
      <c r="AU578" s="79"/>
      <c r="AV578" s="79"/>
      <c r="AW578" s="79"/>
      <c r="AX578" s="79"/>
      <c r="AY578" s="79"/>
      <c r="AZ578" s="79"/>
      <c r="BA578" s="79"/>
      <c r="BB578" s="79"/>
      <c r="BC578" s="79"/>
      <c r="BD578" s="79"/>
      <c r="BE578" s="79"/>
      <c r="BF578" s="79"/>
      <c r="BG578" s="79"/>
      <c r="BH578" s="79"/>
      <c r="BI578" s="79"/>
      <c r="BJ578" s="79"/>
      <c r="BK578" s="79" t="s">
        <v>2694</v>
      </c>
      <c r="BL578" s="79" t="s">
        <v>2704</v>
      </c>
      <c r="BM578" s="79" t="s">
        <v>2698</v>
      </c>
      <c r="BN578" s="79" t="s">
        <v>2696</v>
      </c>
      <c r="BO578" s="79" t="s">
        <v>2697</v>
      </c>
      <c r="BP578" s="79" t="s">
        <v>2698</v>
      </c>
      <c r="BQ578" s="79" t="s">
        <v>2699</v>
      </c>
      <c r="BR578" s="79" t="s">
        <v>2693</v>
      </c>
      <c r="BS578" s="79" t="s">
        <v>2699</v>
      </c>
      <c r="BT578" s="79" t="s">
        <v>2696</v>
      </c>
      <c r="BU578" s="79">
        <v>1</v>
      </c>
      <c r="BV578" s="79" t="s">
        <v>2696</v>
      </c>
      <c r="BW578" s="79" t="s">
        <v>2698</v>
      </c>
      <c r="BX578" s="79" t="s">
        <v>2696</v>
      </c>
      <c r="BY578" s="79" t="s">
        <v>2699</v>
      </c>
      <c r="BZ578" s="79" t="s">
        <v>2699</v>
      </c>
      <c r="CA578" s="79" t="s">
        <v>2693</v>
      </c>
      <c r="CB578" s="79" t="s">
        <v>2699</v>
      </c>
      <c r="CC578" s="79" t="s">
        <v>2699</v>
      </c>
      <c r="CD578" s="79" t="s">
        <v>2696</v>
      </c>
      <c r="CE578" s="79"/>
      <c r="CF578" s="81" t="s">
        <v>4094</v>
      </c>
      <c r="CG578" s="81" t="s">
        <v>4095</v>
      </c>
      <c r="CH578" s="79" t="s">
        <v>2693</v>
      </c>
      <c r="CI578" s="79" t="s">
        <v>2076</v>
      </c>
      <c r="CJ578" s="79" t="s">
        <v>2701</v>
      </c>
      <c r="CK578" s="145">
        <v>0</v>
      </c>
      <c r="CL578"/>
    </row>
    <row r="579" spans="1:90">
      <c r="A579" s="83" t="s">
        <v>3116</v>
      </c>
      <c r="B579" s="83" t="s">
        <v>2670</v>
      </c>
      <c r="D579" s="83" t="s">
        <v>688</v>
      </c>
      <c r="E579" s="83" t="s">
        <v>2671</v>
      </c>
      <c r="F579" s="83" t="s">
        <v>3117</v>
      </c>
      <c r="G579" s="83" t="s">
        <v>1873</v>
      </c>
      <c r="H579" s="83" t="s">
        <v>1201</v>
      </c>
      <c r="I579" s="83" t="s">
        <v>1202</v>
      </c>
      <c r="J579" s="83" t="s">
        <v>1203</v>
      </c>
      <c r="K579" s="83" t="s">
        <v>565</v>
      </c>
      <c r="L579" s="83" t="s">
        <v>398</v>
      </c>
      <c r="M579" s="83" t="s">
        <v>399</v>
      </c>
      <c r="N579" s="83" t="s">
        <v>1909</v>
      </c>
      <c r="O579" s="83" t="s">
        <v>106</v>
      </c>
      <c r="P579" s="83">
        <v>8</v>
      </c>
      <c r="Q579" s="83" t="s">
        <v>106</v>
      </c>
      <c r="R579" s="83" t="s">
        <v>2691</v>
      </c>
      <c r="S579" s="83" t="s">
        <v>2805</v>
      </c>
      <c r="T579" s="83" t="s">
        <v>2843</v>
      </c>
      <c r="U579" s="83" t="s">
        <v>401</v>
      </c>
      <c r="AC579" s="83" t="s">
        <v>401</v>
      </c>
      <c r="AD579" s="83">
        <v>3205000</v>
      </c>
      <c r="AF579" s="83">
        <v>113000</v>
      </c>
      <c r="AJ579" s="83">
        <v>1</v>
      </c>
      <c r="AK579" s="83">
        <v>1</v>
      </c>
      <c r="AL579" s="83">
        <v>20160</v>
      </c>
      <c r="AM579" s="83" t="s">
        <v>2693</v>
      </c>
      <c r="BK579" s="83" t="s">
        <v>2694</v>
      </c>
      <c r="BL579" s="83" t="s">
        <v>2697</v>
      </c>
      <c r="BM579" s="83" t="s">
        <v>2699</v>
      </c>
      <c r="BN579" s="83" t="s">
        <v>2698</v>
      </c>
      <c r="BO579" s="83" t="s">
        <v>2697</v>
      </c>
      <c r="BP579" s="83" t="s">
        <v>2697</v>
      </c>
      <c r="BQ579" s="83" t="s">
        <v>2699</v>
      </c>
      <c r="BR579" s="83" t="s">
        <v>2699</v>
      </c>
      <c r="BS579" s="83" t="s">
        <v>2699</v>
      </c>
      <c r="BT579" s="83" t="s">
        <v>2696</v>
      </c>
      <c r="BU579" s="83" t="s">
        <v>2699</v>
      </c>
      <c r="BV579" s="83" t="s">
        <v>2696</v>
      </c>
      <c r="BW579" s="83" t="s">
        <v>2698</v>
      </c>
      <c r="BX579" s="83" t="s">
        <v>2696</v>
      </c>
      <c r="BY579" s="83" t="s">
        <v>2699</v>
      </c>
      <c r="BZ579" s="83" t="s">
        <v>2693</v>
      </c>
      <c r="CA579" s="83" t="s">
        <v>2693</v>
      </c>
      <c r="CB579" s="83" t="s">
        <v>2694</v>
      </c>
      <c r="CC579" s="83" t="s">
        <v>2699</v>
      </c>
      <c r="CD579" s="83" t="s">
        <v>2696</v>
      </c>
      <c r="CF579" s="83" t="s">
        <v>3118</v>
      </c>
      <c r="CG579" s="83" t="s">
        <v>1951</v>
      </c>
      <c r="CH579" s="83" t="s">
        <v>2695</v>
      </c>
      <c r="CI579" s="83" t="s">
        <v>648</v>
      </c>
      <c r="CJ579" s="83" t="s">
        <v>2726</v>
      </c>
      <c r="CK579" s="144">
        <v>0</v>
      </c>
      <c r="CL579"/>
    </row>
    <row r="580" spans="1:90" s="79" customFormat="1">
      <c r="A580" s="83" t="s">
        <v>3123</v>
      </c>
      <c r="B580" s="83" t="s">
        <v>2598</v>
      </c>
      <c r="C580" s="83"/>
      <c r="D580" s="83" t="s">
        <v>688</v>
      </c>
      <c r="E580" s="83" t="s">
        <v>689</v>
      </c>
      <c r="F580" s="83" t="s">
        <v>3124</v>
      </c>
      <c r="G580" s="83" t="s">
        <v>2300</v>
      </c>
      <c r="H580" s="83" t="s">
        <v>1201</v>
      </c>
      <c r="I580" s="83" t="s">
        <v>1202</v>
      </c>
      <c r="J580" s="83" t="s">
        <v>1203</v>
      </c>
      <c r="K580" s="83" t="s">
        <v>565</v>
      </c>
      <c r="L580" s="83" t="s">
        <v>398</v>
      </c>
      <c r="M580" s="83" t="s">
        <v>399</v>
      </c>
      <c r="N580" s="83" t="s">
        <v>1909</v>
      </c>
      <c r="O580" s="83" t="s">
        <v>106</v>
      </c>
      <c r="P580" s="83">
        <v>8</v>
      </c>
      <c r="Q580" s="83" t="s">
        <v>106</v>
      </c>
      <c r="R580" s="83" t="s">
        <v>2730</v>
      </c>
      <c r="S580" s="83" t="s">
        <v>2810</v>
      </c>
      <c r="T580" s="83" t="s">
        <v>2843</v>
      </c>
      <c r="U580" s="83" t="s">
        <v>401</v>
      </c>
      <c r="V580" s="97"/>
      <c r="W580" s="97"/>
      <c r="X580" s="97"/>
      <c r="Y580" s="97"/>
      <c r="Z580" s="97"/>
      <c r="AA580" s="97"/>
      <c r="AB580" s="97"/>
      <c r="AC580" s="83" t="s">
        <v>401</v>
      </c>
      <c r="AD580" s="83">
        <v>2265000</v>
      </c>
      <c r="AE580" s="83"/>
      <c r="AF580" s="83">
        <v>396000</v>
      </c>
      <c r="AG580" s="83"/>
      <c r="AH580" s="83"/>
      <c r="AI580" s="83"/>
      <c r="AJ580" s="83">
        <v>1</v>
      </c>
      <c r="AK580" s="83">
        <v>1</v>
      </c>
      <c r="AL580" s="83">
        <v>19120</v>
      </c>
      <c r="AM580" s="83" t="s">
        <v>2693</v>
      </c>
      <c r="AN580" s="83"/>
      <c r="AO580" s="83"/>
      <c r="AP580" s="83"/>
      <c r="AQ580" s="83"/>
      <c r="AR580" s="83"/>
      <c r="AS580" s="83"/>
      <c r="AT580" s="83"/>
      <c r="AU580" s="83"/>
      <c r="AV580" s="83"/>
      <c r="AW580" s="83"/>
      <c r="AX580" s="83"/>
      <c r="AY580" s="83"/>
      <c r="AZ580" s="83"/>
      <c r="BA580" s="83"/>
      <c r="BB580" s="83"/>
      <c r="BC580" s="83"/>
      <c r="BD580" s="83"/>
      <c r="BE580" s="83"/>
      <c r="BF580" s="83"/>
      <c r="BG580" s="83"/>
      <c r="BH580" s="83"/>
      <c r="BI580" s="83"/>
      <c r="BJ580" s="83"/>
      <c r="BK580" s="83" t="s">
        <v>2694</v>
      </c>
      <c r="BL580" s="83" t="s">
        <v>2697</v>
      </c>
      <c r="BM580" s="83" t="s">
        <v>2693</v>
      </c>
      <c r="BN580" s="83" t="s">
        <v>2698</v>
      </c>
      <c r="BO580" s="83" t="s">
        <v>2697</v>
      </c>
      <c r="BP580" s="83" t="s">
        <v>2697</v>
      </c>
      <c r="BQ580" s="83" t="s">
        <v>2699</v>
      </c>
      <c r="BR580" s="83" t="s">
        <v>2693</v>
      </c>
      <c r="BS580" s="83" t="s">
        <v>2699</v>
      </c>
      <c r="BT580" s="83" t="s">
        <v>2696</v>
      </c>
      <c r="BU580" s="83" t="s">
        <v>2699</v>
      </c>
      <c r="BV580" s="83" t="s">
        <v>2696</v>
      </c>
      <c r="BW580" s="83" t="s">
        <v>2698</v>
      </c>
      <c r="BX580" s="83" t="s">
        <v>2696</v>
      </c>
      <c r="BY580" s="83" t="s">
        <v>2699</v>
      </c>
      <c r="BZ580" s="83" t="s">
        <v>2693</v>
      </c>
      <c r="CA580" s="83" t="s">
        <v>2693</v>
      </c>
      <c r="CB580" s="83" t="s">
        <v>2694</v>
      </c>
      <c r="CC580" s="83" t="s">
        <v>2699</v>
      </c>
      <c r="CD580" s="83" t="s">
        <v>2699</v>
      </c>
      <c r="CE580" s="83"/>
      <c r="CF580" s="83" t="s">
        <v>3125</v>
      </c>
      <c r="CG580" s="83" t="s">
        <v>3126</v>
      </c>
      <c r="CH580" s="83" t="s">
        <v>2695</v>
      </c>
      <c r="CI580" s="83" t="s">
        <v>648</v>
      </c>
      <c r="CJ580" s="83" t="s">
        <v>2757</v>
      </c>
      <c r="CK580" s="144">
        <v>1</v>
      </c>
      <c r="CL580"/>
    </row>
    <row r="581" spans="1:90">
      <c r="A581" s="83" t="s">
        <v>3140</v>
      </c>
      <c r="B581" s="83" t="s">
        <v>2604</v>
      </c>
      <c r="D581" s="83" t="s">
        <v>688</v>
      </c>
      <c r="E581" s="83" t="s">
        <v>689</v>
      </c>
      <c r="F581" s="83" t="s">
        <v>3141</v>
      </c>
      <c r="G581" s="83" t="s">
        <v>1873</v>
      </c>
      <c r="H581" s="83" t="s">
        <v>1201</v>
      </c>
      <c r="I581" s="83" t="s">
        <v>1202</v>
      </c>
      <c r="J581" s="83" t="s">
        <v>1203</v>
      </c>
      <c r="K581" s="83" t="s">
        <v>565</v>
      </c>
      <c r="L581" s="83" t="s">
        <v>398</v>
      </c>
      <c r="M581" s="83" t="s">
        <v>399</v>
      </c>
      <c r="N581" s="83" t="s">
        <v>1909</v>
      </c>
      <c r="O581" s="83" t="s">
        <v>106</v>
      </c>
      <c r="P581" s="83">
        <v>8</v>
      </c>
      <c r="Q581" s="83" t="s">
        <v>106</v>
      </c>
      <c r="R581" s="83" t="s">
        <v>2730</v>
      </c>
      <c r="S581" s="83" t="s">
        <v>2760</v>
      </c>
      <c r="T581" s="83" t="s">
        <v>2843</v>
      </c>
      <c r="U581" s="83" t="s">
        <v>401</v>
      </c>
      <c r="AC581" s="83" t="s">
        <v>401</v>
      </c>
      <c r="AD581" s="83">
        <v>496000</v>
      </c>
      <c r="AF581" s="83">
        <v>0</v>
      </c>
      <c r="AJ581" s="83">
        <v>1</v>
      </c>
      <c r="AK581" s="83">
        <v>1</v>
      </c>
      <c r="AL581" s="83">
        <v>3977</v>
      </c>
      <c r="AM581" s="83" t="s">
        <v>2693</v>
      </c>
      <c r="BK581" s="83" t="s">
        <v>2694</v>
      </c>
      <c r="BL581" s="83" t="s">
        <v>2697</v>
      </c>
      <c r="BM581" s="83" t="s">
        <v>2693</v>
      </c>
      <c r="BN581" s="83" t="s">
        <v>2698</v>
      </c>
      <c r="BO581" s="83" t="s">
        <v>2697</v>
      </c>
      <c r="BP581" s="83" t="s">
        <v>2697</v>
      </c>
      <c r="BQ581" s="83" t="s">
        <v>2699</v>
      </c>
      <c r="BR581" s="83" t="s">
        <v>2693</v>
      </c>
      <c r="BS581" s="83" t="s">
        <v>2699</v>
      </c>
      <c r="BT581" s="83" t="s">
        <v>2696</v>
      </c>
      <c r="BU581" s="83" t="s">
        <v>2699</v>
      </c>
      <c r="BV581" s="83" t="s">
        <v>2696</v>
      </c>
      <c r="BW581" s="83" t="s">
        <v>2698</v>
      </c>
      <c r="BX581" s="83" t="s">
        <v>2696</v>
      </c>
      <c r="BY581" s="83" t="s">
        <v>2699</v>
      </c>
      <c r="BZ581" s="83" t="s">
        <v>2693</v>
      </c>
      <c r="CA581" s="83" t="s">
        <v>2693</v>
      </c>
      <c r="CB581" s="83" t="s">
        <v>2694</v>
      </c>
      <c r="CC581" s="83" t="s">
        <v>2699</v>
      </c>
      <c r="CD581" s="83" t="s">
        <v>2696</v>
      </c>
      <c r="CF581" s="83" t="s">
        <v>3142</v>
      </c>
      <c r="CG581" s="83" t="s">
        <v>3143</v>
      </c>
      <c r="CH581" s="83" t="s">
        <v>2695</v>
      </c>
      <c r="CI581" s="83" t="s">
        <v>648</v>
      </c>
      <c r="CJ581" s="83" t="s">
        <v>2726</v>
      </c>
      <c r="CK581" s="144">
        <v>0</v>
      </c>
      <c r="CL581"/>
    </row>
    <row r="582" spans="1:90">
      <c r="A582" s="83" t="s">
        <v>3144</v>
      </c>
      <c r="B582" s="83" t="s">
        <v>2605</v>
      </c>
      <c r="D582" s="83" t="s">
        <v>688</v>
      </c>
      <c r="E582" s="83" t="s">
        <v>2606</v>
      </c>
      <c r="F582" s="83" t="s">
        <v>3145</v>
      </c>
      <c r="G582" s="83" t="s">
        <v>2300</v>
      </c>
      <c r="H582" s="83" t="s">
        <v>1201</v>
      </c>
      <c r="I582" s="83" t="s">
        <v>1202</v>
      </c>
      <c r="J582" s="83" t="s">
        <v>1203</v>
      </c>
      <c r="K582" s="83" t="s">
        <v>565</v>
      </c>
      <c r="L582" s="83" t="s">
        <v>398</v>
      </c>
      <c r="M582" s="83" t="s">
        <v>399</v>
      </c>
      <c r="N582" s="83" t="s">
        <v>1909</v>
      </c>
      <c r="O582" s="83" t="s">
        <v>106</v>
      </c>
      <c r="P582" s="83">
        <v>8</v>
      </c>
      <c r="Q582" s="83" t="s">
        <v>106</v>
      </c>
      <c r="R582" s="83" t="s">
        <v>2691</v>
      </c>
      <c r="S582" s="83" t="s">
        <v>1464</v>
      </c>
      <c r="T582" s="83" t="s">
        <v>2843</v>
      </c>
      <c r="U582" s="83" t="s">
        <v>401</v>
      </c>
      <c r="AC582" s="83" t="s">
        <v>401</v>
      </c>
      <c r="AD582" s="83">
        <v>581000</v>
      </c>
      <c r="AF582" s="83">
        <v>0</v>
      </c>
      <c r="AJ582" s="83">
        <v>1</v>
      </c>
      <c r="AK582" s="83">
        <v>1</v>
      </c>
      <c r="AL582" s="83">
        <v>4041</v>
      </c>
      <c r="AM582" s="83" t="s">
        <v>2693</v>
      </c>
      <c r="BK582" s="83" t="s">
        <v>2694</v>
      </c>
      <c r="BL582" s="83" t="s">
        <v>2695</v>
      </c>
      <c r="BM582" s="83" t="s">
        <v>2699</v>
      </c>
      <c r="BN582" s="83" t="s">
        <v>2698</v>
      </c>
      <c r="BO582" s="83" t="s">
        <v>2697</v>
      </c>
      <c r="BP582" s="83" t="s">
        <v>2697</v>
      </c>
      <c r="BQ582" s="83" t="s">
        <v>2699</v>
      </c>
      <c r="BR582" s="83" t="s">
        <v>2699</v>
      </c>
      <c r="BS582" s="83" t="s">
        <v>2699</v>
      </c>
      <c r="BT582" s="83" t="s">
        <v>2696</v>
      </c>
      <c r="BU582" s="83" t="s">
        <v>2699</v>
      </c>
      <c r="BV582" s="83" t="s">
        <v>2696</v>
      </c>
      <c r="BW582" s="83" t="s">
        <v>2698</v>
      </c>
      <c r="BX582" s="83" t="s">
        <v>2696</v>
      </c>
      <c r="BY582" s="83" t="s">
        <v>2699</v>
      </c>
      <c r="BZ582" s="83" t="s">
        <v>2693</v>
      </c>
      <c r="CA582" s="83" t="s">
        <v>2693</v>
      </c>
      <c r="CB582" s="83" t="s">
        <v>2697</v>
      </c>
      <c r="CC582" s="83" t="s">
        <v>2699</v>
      </c>
      <c r="CD582" s="83" t="s">
        <v>2696</v>
      </c>
      <c r="CF582" s="83" t="s">
        <v>3146</v>
      </c>
      <c r="CG582" s="83" t="s">
        <v>3147</v>
      </c>
      <c r="CH582" s="83" t="s">
        <v>2695</v>
      </c>
      <c r="CI582" s="83" t="s">
        <v>648</v>
      </c>
      <c r="CJ582" s="83" t="s">
        <v>2722</v>
      </c>
      <c r="CK582" s="144">
        <v>0</v>
      </c>
      <c r="CL582"/>
    </row>
    <row r="583" spans="1:90">
      <c r="A583" s="79" t="s">
        <v>3644</v>
      </c>
      <c r="B583" s="79" t="s">
        <v>3993</v>
      </c>
      <c r="C583" s="79"/>
      <c r="D583" s="79" t="s">
        <v>688</v>
      </c>
      <c r="E583" s="79" t="s">
        <v>3993</v>
      </c>
      <c r="F583" s="79" t="s">
        <v>3645</v>
      </c>
      <c r="G583" s="79" t="s">
        <v>2448</v>
      </c>
      <c r="H583" s="79" t="s">
        <v>1201</v>
      </c>
      <c r="I583" s="79" t="s">
        <v>1202</v>
      </c>
      <c r="J583" s="79" t="s">
        <v>1203</v>
      </c>
      <c r="K583" s="79" t="s">
        <v>565</v>
      </c>
      <c r="L583" s="79" t="s">
        <v>398</v>
      </c>
      <c r="M583" s="79" t="s">
        <v>399</v>
      </c>
      <c r="N583" s="79" t="s">
        <v>1909</v>
      </c>
      <c r="O583" s="79" t="s">
        <v>106</v>
      </c>
      <c r="P583" s="79">
        <v>4</v>
      </c>
      <c r="Q583" s="79" t="s">
        <v>106</v>
      </c>
      <c r="R583" s="79" t="s">
        <v>2727</v>
      </c>
      <c r="S583" s="79" t="s">
        <v>2764</v>
      </c>
      <c r="T583" s="79" t="s">
        <v>2703</v>
      </c>
      <c r="U583" s="79" t="s">
        <v>401</v>
      </c>
      <c r="AC583" s="79" t="s">
        <v>401</v>
      </c>
      <c r="AD583" s="79">
        <v>137000</v>
      </c>
      <c r="AE583" s="79"/>
      <c r="AF583" s="79">
        <v>0</v>
      </c>
      <c r="AG583" s="79"/>
      <c r="AH583" s="79"/>
      <c r="AI583" s="79"/>
      <c r="AJ583" s="79">
        <v>1</v>
      </c>
      <c r="AK583" s="79">
        <v>1</v>
      </c>
      <c r="AL583" s="79">
        <v>1629</v>
      </c>
      <c r="AM583" s="79" t="s">
        <v>2693</v>
      </c>
      <c r="AN583" s="79"/>
      <c r="AO583" s="79"/>
      <c r="AP583" s="79"/>
      <c r="AQ583" s="79"/>
      <c r="AR583" s="79"/>
      <c r="AS583" s="79"/>
      <c r="AT583" s="79"/>
      <c r="AU583" s="79"/>
      <c r="AV583" s="79"/>
      <c r="AW583" s="79"/>
      <c r="AX583" s="79"/>
      <c r="AY583" s="79"/>
      <c r="AZ583" s="79"/>
      <c r="BA583" s="79"/>
      <c r="BB583" s="79"/>
      <c r="BC583" s="79"/>
      <c r="BD583" s="79"/>
      <c r="BE583" s="79"/>
      <c r="BF583" s="79"/>
      <c r="BG583" s="79"/>
      <c r="BH583" s="79"/>
      <c r="BI583" s="79"/>
      <c r="BJ583" s="79"/>
      <c r="BK583" s="79" t="s">
        <v>2694</v>
      </c>
      <c r="BL583" s="79" t="s">
        <v>2704</v>
      </c>
      <c r="BM583" s="79" t="s">
        <v>2698</v>
      </c>
      <c r="BN583" s="79" t="s">
        <v>2696</v>
      </c>
      <c r="BO583" s="79" t="s">
        <v>2697</v>
      </c>
      <c r="BP583" s="79" t="s">
        <v>2698</v>
      </c>
      <c r="BQ583" s="79" t="s">
        <v>2699</v>
      </c>
      <c r="BR583" s="79" t="s">
        <v>2693</v>
      </c>
      <c r="BS583" s="79" t="s">
        <v>2699</v>
      </c>
      <c r="BT583" s="79" t="s">
        <v>2696</v>
      </c>
      <c r="BU583" s="79">
        <v>1</v>
      </c>
      <c r="BV583" s="79" t="s">
        <v>2696</v>
      </c>
      <c r="BW583" s="79" t="s">
        <v>2698</v>
      </c>
      <c r="BX583" s="79" t="s">
        <v>2696</v>
      </c>
      <c r="BY583" s="79" t="s">
        <v>2699</v>
      </c>
      <c r="BZ583" s="79" t="s">
        <v>2699</v>
      </c>
      <c r="CA583" s="79" t="s">
        <v>2693</v>
      </c>
      <c r="CB583" s="79">
        <v>9</v>
      </c>
      <c r="CC583" s="79" t="s">
        <v>2699</v>
      </c>
      <c r="CD583" s="79" t="s">
        <v>2696</v>
      </c>
      <c r="CE583" s="79"/>
      <c r="CF583" s="81" t="s">
        <v>3996</v>
      </c>
      <c r="CG583" s="81" t="s">
        <v>3997</v>
      </c>
      <c r="CH583" s="79" t="s">
        <v>2693</v>
      </c>
      <c r="CI583" s="79" t="s">
        <v>2076</v>
      </c>
      <c r="CJ583" s="79" t="s">
        <v>2701</v>
      </c>
      <c r="CK583" s="145">
        <v>0</v>
      </c>
      <c r="CL583"/>
    </row>
    <row r="584" spans="1:90">
      <c r="A584" s="79" t="s">
        <v>3642</v>
      </c>
      <c r="B584" s="79" t="s">
        <v>3993</v>
      </c>
      <c r="C584" s="79"/>
      <c r="D584" s="79" t="s">
        <v>688</v>
      </c>
      <c r="E584" s="79" t="s">
        <v>3993</v>
      </c>
      <c r="F584" s="79" t="s">
        <v>3643</v>
      </c>
      <c r="G584" s="79" t="s">
        <v>2448</v>
      </c>
      <c r="H584" s="79" t="s">
        <v>1201</v>
      </c>
      <c r="I584" s="79" t="s">
        <v>1202</v>
      </c>
      <c r="J584" s="79" t="s">
        <v>1203</v>
      </c>
      <c r="K584" s="79" t="s">
        <v>565</v>
      </c>
      <c r="L584" s="79" t="s">
        <v>398</v>
      </c>
      <c r="M584" s="79" t="s">
        <v>399</v>
      </c>
      <c r="N584" s="79" t="s">
        <v>1909</v>
      </c>
      <c r="O584" s="79" t="s">
        <v>106</v>
      </c>
      <c r="P584" s="79">
        <v>4</v>
      </c>
      <c r="Q584" s="79" t="s">
        <v>106</v>
      </c>
      <c r="R584" s="79" t="s">
        <v>2727</v>
      </c>
      <c r="S584" s="79" t="s">
        <v>2764</v>
      </c>
      <c r="T584" s="79" t="s">
        <v>2703</v>
      </c>
      <c r="U584" s="79" t="s">
        <v>401</v>
      </c>
      <c r="AC584" s="79" t="s">
        <v>401</v>
      </c>
      <c r="AD584" s="79">
        <v>138000</v>
      </c>
      <c r="AE584" s="79"/>
      <c r="AF584" s="79">
        <v>0</v>
      </c>
      <c r="AG584" s="79"/>
      <c r="AH584" s="79"/>
      <c r="AI584" s="79"/>
      <c r="AJ584" s="79">
        <v>1</v>
      </c>
      <c r="AK584" s="79">
        <v>1</v>
      </c>
      <c r="AL584" s="79">
        <v>1462</v>
      </c>
      <c r="AM584" s="79" t="s">
        <v>2693</v>
      </c>
      <c r="AN584" s="79"/>
      <c r="AO584" s="79"/>
      <c r="AP584" s="79"/>
      <c r="AQ584" s="79"/>
      <c r="AR584" s="79"/>
      <c r="AS584" s="79"/>
      <c r="AT584" s="79"/>
      <c r="AU584" s="79"/>
      <c r="AV584" s="79"/>
      <c r="AW584" s="79"/>
      <c r="AX584" s="79"/>
      <c r="AY584" s="79"/>
      <c r="AZ584" s="79"/>
      <c r="BA584" s="79"/>
      <c r="BB584" s="79"/>
      <c r="BC584" s="79"/>
      <c r="BD584" s="79"/>
      <c r="BE584" s="79"/>
      <c r="BF584" s="79"/>
      <c r="BG584" s="79"/>
      <c r="BH584" s="79"/>
      <c r="BI584" s="79"/>
      <c r="BJ584" s="79"/>
      <c r="BK584" s="79" t="s">
        <v>2694</v>
      </c>
      <c r="BL584" s="79" t="s">
        <v>2704</v>
      </c>
      <c r="BM584" s="79" t="s">
        <v>2698</v>
      </c>
      <c r="BN584" s="79" t="s">
        <v>2696</v>
      </c>
      <c r="BO584" s="79" t="s">
        <v>2697</v>
      </c>
      <c r="BP584" s="79" t="s">
        <v>2698</v>
      </c>
      <c r="BQ584" s="79" t="s">
        <v>2699</v>
      </c>
      <c r="BR584" s="79" t="s">
        <v>2693</v>
      </c>
      <c r="BS584" s="79" t="s">
        <v>2699</v>
      </c>
      <c r="BT584" s="79" t="s">
        <v>2696</v>
      </c>
      <c r="BU584" s="79">
        <v>1</v>
      </c>
      <c r="BV584" s="79" t="s">
        <v>2696</v>
      </c>
      <c r="BW584" s="79" t="s">
        <v>2698</v>
      </c>
      <c r="BX584" s="79" t="s">
        <v>2696</v>
      </c>
      <c r="BY584" s="79" t="s">
        <v>2699</v>
      </c>
      <c r="BZ584" s="79" t="s">
        <v>2699</v>
      </c>
      <c r="CA584" s="79" t="s">
        <v>2693</v>
      </c>
      <c r="CB584" s="79">
        <v>9</v>
      </c>
      <c r="CC584" s="79" t="s">
        <v>2699</v>
      </c>
      <c r="CD584" s="79" t="s">
        <v>2696</v>
      </c>
      <c r="CE584" s="79"/>
      <c r="CF584" s="81" t="s">
        <v>3994</v>
      </c>
      <c r="CG584" s="81" t="s">
        <v>3995</v>
      </c>
      <c r="CH584" s="79" t="s">
        <v>2693</v>
      </c>
      <c r="CI584" s="79" t="s">
        <v>2076</v>
      </c>
      <c r="CJ584" s="79" t="s">
        <v>2701</v>
      </c>
      <c r="CK584" s="145">
        <v>0</v>
      </c>
      <c r="CL584"/>
    </row>
    <row r="585" spans="1:90">
      <c r="A585" s="79" t="s">
        <v>3646</v>
      </c>
      <c r="B585" s="79" t="s">
        <v>3993</v>
      </c>
      <c r="C585" s="79"/>
      <c r="D585" s="79" t="s">
        <v>688</v>
      </c>
      <c r="E585" s="79" t="s">
        <v>3993</v>
      </c>
      <c r="F585" s="79" t="s">
        <v>3647</v>
      </c>
      <c r="G585" s="79" t="s">
        <v>2448</v>
      </c>
      <c r="H585" s="79" t="s">
        <v>1201</v>
      </c>
      <c r="I585" s="79" t="s">
        <v>1202</v>
      </c>
      <c r="J585" s="79" t="s">
        <v>1203</v>
      </c>
      <c r="K585" s="79" t="s">
        <v>565</v>
      </c>
      <c r="L585" s="79" t="s">
        <v>398</v>
      </c>
      <c r="M585" s="79" t="s">
        <v>399</v>
      </c>
      <c r="N585" s="79" t="s">
        <v>1909</v>
      </c>
      <c r="O585" s="79" t="s">
        <v>106</v>
      </c>
      <c r="P585" s="79">
        <v>4</v>
      </c>
      <c r="Q585" s="79" t="s">
        <v>106</v>
      </c>
      <c r="R585" s="79" t="s">
        <v>2727</v>
      </c>
      <c r="S585" s="79" t="s">
        <v>2764</v>
      </c>
      <c r="T585" s="79" t="s">
        <v>2703</v>
      </c>
      <c r="U585" s="79" t="s">
        <v>401</v>
      </c>
      <c r="AC585" s="79" t="s">
        <v>401</v>
      </c>
      <c r="AD585" s="79">
        <v>138000</v>
      </c>
      <c r="AE585" s="79"/>
      <c r="AF585" s="79">
        <v>0</v>
      </c>
      <c r="AG585" s="79"/>
      <c r="AH585" s="79"/>
      <c r="AI585" s="79"/>
      <c r="AJ585" s="79">
        <v>1</v>
      </c>
      <c r="AK585" s="79">
        <v>1</v>
      </c>
      <c r="AL585" s="79">
        <v>1462</v>
      </c>
      <c r="AM585" s="79" t="s">
        <v>2693</v>
      </c>
      <c r="AN585" s="79"/>
      <c r="AO585" s="79"/>
      <c r="AP585" s="79"/>
      <c r="AQ585" s="79"/>
      <c r="AR585" s="79"/>
      <c r="AS585" s="79"/>
      <c r="AT585" s="79"/>
      <c r="AU585" s="79"/>
      <c r="AV585" s="79"/>
      <c r="AW585" s="79"/>
      <c r="AX585" s="79"/>
      <c r="AY585" s="79"/>
      <c r="AZ585" s="79"/>
      <c r="BA585" s="79"/>
      <c r="BB585" s="79"/>
      <c r="BC585" s="79"/>
      <c r="BD585" s="79"/>
      <c r="BE585" s="79"/>
      <c r="BF585" s="79"/>
      <c r="BG585" s="79"/>
      <c r="BH585" s="79"/>
      <c r="BI585" s="79"/>
      <c r="BJ585" s="79"/>
      <c r="BK585" s="79" t="s">
        <v>2694</v>
      </c>
      <c r="BL585" s="79">
        <v>7</v>
      </c>
      <c r="BM585" s="79" t="s">
        <v>2698</v>
      </c>
      <c r="BN585" s="79" t="s">
        <v>2696</v>
      </c>
      <c r="BO585" s="79">
        <v>3</v>
      </c>
      <c r="BP585" s="79" t="s">
        <v>2698</v>
      </c>
      <c r="BQ585" s="79" t="s">
        <v>2699</v>
      </c>
      <c r="BR585" s="79">
        <v>2</v>
      </c>
      <c r="BS585" s="79">
        <v>1</v>
      </c>
      <c r="BT585" s="79" t="s">
        <v>2696</v>
      </c>
      <c r="BU585" s="79">
        <v>1</v>
      </c>
      <c r="BV585" s="79">
        <v>0</v>
      </c>
      <c r="BW585" s="79">
        <v>5</v>
      </c>
      <c r="BX585" s="79">
        <v>0</v>
      </c>
      <c r="BY585" s="79">
        <v>1</v>
      </c>
      <c r="BZ585" s="79" t="s">
        <v>2699</v>
      </c>
      <c r="CA585" s="79">
        <v>2</v>
      </c>
      <c r="CB585" s="79">
        <v>9</v>
      </c>
      <c r="CC585" s="79">
        <v>1</v>
      </c>
      <c r="CD585" s="79" t="s">
        <v>2696</v>
      </c>
      <c r="CE585" s="79"/>
      <c r="CF585" s="81" t="s">
        <v>3998</v>
      </c>
      <c r="CG585" s="81" t="s">
        <v>3999</v>
      </c>
      <c r="CH585" s="79" t="s">
        <v>2693</v>
      </c>
      <c r="CI585" s="79" t="s">
        <v>2076</v>
      </c>
      <c r="CJ585" s="79" t="s">
        <v>2701</v>
      </c>
      <c r="CK585" s="145">
        <v>0</v>
      </c>
      <c r="CL585"/>
    </row>
    <row r="586" spans="1:90">
      <c r="A586" s="79" t="s">
        <v>3648</v>
      </c>
      <c r="B586" s="79" t="s">
        <v>3993</v>
      </c>
      <c r="C586" s="79"/>
      <c r="D586" s="79" t="s">
        <v>688</v>
      </c>
      <c r="E586" s="79" t="s">
        <v>3993</v>
      </c>
      <c r="F586" s="79" t="s">
        <v>3128</v>
      </c>
      <c r="G586" s="79" t="s">
        <v>2448</v>
      </c>
      <c r="H586" s="79" t="s">
        <v>1201</v>
      </c>
      <c r="I586" s="79" t="s">
        <v>1202</v>
      </c>
      <c r="J586" s="79" t="s">
        <v>1203</v>
      </c>
      <c r="K586" s="79" t="s">
        <v>565</v>
      </c>
      <c r="L586" s="79" t="s">
        <v>398</v>
      </c>
      <c r="M586" s="79" t="s">
        <v>399</v>
      </c>
      <c r="N586" s="79" t="s">
        <v>1909</v>
      </c>
      <c r="O586" s="79" t="s">
        <v>106</v>
      </c>
      <c r="P586" s="79">
        <v>4</v>
      </c>
      <c r="Q586" s="79" t="s">
        <v>106</v>
      </c>
      <c r="R586" s="79" t="s">
        <v>2727</v>
      </c>
      <c r="S586" s="79" t="s">
        <v>2764</v>
      </c>
      <c r="T586" s="79" t="s">
        <v>2703</v>
      </c>
      <c r="U586" s="79" t="s">
        <v>401</v>
      </c>
      <c r="AC586" s="79" t="s">
        <v>401</v>
      </c>
      <c r="AD586" s="79">
        <v>138000</v>
      </c>
      <c r="AE586" s="79"/>
      <c r="AF586" s="79">
        <v>0</v>
      </c>
      <c r="AG586" s="79"/>
      <c r="AH586" s="79"/>
      <c r="AI586" s="79"/>
      <c r="AJ586" s="79">
        <v>1</v>
      </c>
      <c r="AK586" s="79">
        <v>1</v>
      </c>
      <c r="AL586" s="79">
        <v>1462</v>
      </c>
      <c r="AM586" s="79" t="s">
        <v>2693</v>
      </c>
      <c r="AN586" s="79"/>
      <c r="AO586" s="79"/>
      <c r="AP586" s="79"/>
      <c r="AQ586" s="79"/>
      <c r="AR586" s="79"/>
      <c r="AS586" s="79"/>
      <c r="AT586" s="79"/>
      <c r="AU586" s="79"/>
      <c r="AV586" s="79"/>
      <c r="AW586" s="79"/>
      <c r="AX586" s="79"/>
      <c r="AY586" s="79"/>
      <c r="AZ586" s="79"/>
      <c r="BA586" s="79"/>
      <c r="BB586" s="79"/>
      <c r="BC586" s="79"/>
      <c r="BD586" s="79"/>
      <c r="BE586" s="79"/>
      <c r="BF586" s="79"/>
      <c r="BG586" s="79"/>
      <c r="BH586" s="79"/>
      <c r="BI586" s="79"/>
      <c r="BJ586" s="79"/>
      <c r="BK586" s="79" t="s">
        <v>2694</v>
      </c>
      <c r="BL586" s="79" t="s">
        <v>2704</v>
      </c>
      <c r="BM586" s="79" t="s">
        <v>2698</v>
      </c>
      <c r="BN586" s="79" t="s">
        <v>2696</v>
      </c>
      <c r="BO586" s="79" t="s">
        <v>2697</v>
      </c>
      <c r="BP586" s="79" t="s">
        <v>2698</v>
      </c>
      <c r="BQ586" s="79" t="s">
        <v>2699</v>
      </c>
      <c r="BR586" s="79" t="s">
        <v>2693</v>
      </c>
      <c r="BS586" s="79" t="s">
        <v>2699</v>
      </c>
      <c r="BT586" s="79" t="s">
        <v>2696</v>
      </c>
      <c r="BU586" s="79">
        <v>1</v>
      </c>
      <c r="BV586" s="79" t="s">
        <v>2696</v>
      </c>
      <c r="BW586" s="79" t="s">
        <v>2698</v>
      </c>
      <c r="BX586" s="79" t="s">
        <v>2696</v>
      </c>
      <c r="BY586" s="79" t="s">
        <v>2699</v>
      </c>
      <c r="BZ586" s="79" t="s">
        <v>2699</v>
      </c>
      <c r="CA586" s="79" t="s">
        <v>2693</v>
      </c>
      <c r="CB586" s="79">
        <v>9</v>
      </c>
      <c r="CC586" s="79" t="s">
        <v>2699</v>
      </c>
      <c r="CD586" s="79" t="s">
        <v>2696</v>
      </c>
      <c r="CE586" s="79"/>
      <c r="CF586" s="81" t="s">
        <v>4000</v>
      </c>
      <c r="CG586" s="81" t="s">
        <v>3997</v>
      </c>
      <c r="CH586" s="79" t="s">
        <v>2693</v>
      </c>
      <c r="CI586" s="79" t="s">
        <v>2076</v>
      </c>
      <c r="CJ586" s="79" t="s">
        <v>2701</v>
      </c>
      <c r="CK586" s="145">
        <v>0</v>
      </c>
      <c r="CL586"/>
    </row>
    <row r="587" spans="1:90">
      <c r="A587" s="79" t="s">
        <v>3649</v>
      </c>
      <c r="B587" s="79" t="s">
        <v>3993</v>
      </c>
      <c r="C587" s="79"/>
      <c r="D587" s="79" t="s">
        <v>688</v>
      </c>
      <c r="E587" s="79" t="s">
        <v>3993</v>
      </c>
      <c r="F587" s="79" t="s">
        <v>3650</v>
      </c>
      <c r="G587" s="79" t="s">
        <v>2448</v>
      </c>
      <c r="H587" s="79" t="s">
        <v>1201</v>
      </c>
      <c r="I587" s="79" t="s">
        <v>1202</v>
      </c>
      <c r="J587" s="79" t="s">
        <v>1203</v>
      </c>
      <c r="K587" s="79" t="s">
        <v>565</v>
      </c>
      <c r="L587" s="79" t="s">
        <v>398</v>
      </c>
      <c r="M587" s="79" t="s">
        <v>399</v>
      </c>
      <c r="N587" s="79" t="s">
        <v>1909</v>
      </c>
      <c r="O587" s="79" t="s">
        <v>106</v>
      </c>
      <c r="P587" s="79">
        <v>4</v>
      </c>
      <c r="Q587" s="79" t="s">
        <v>106</v>
      </c>
      <c r="R587" s="79" t="s">
        <v>2727</v>
      </c>
      <c r="S587" s="79" t="s">
        <v>2764</v>
      </c>
      <c r="T587" s="79" t="s">
        <v>2703</v>
      </c>
      <c r="U587" s="79" t="s">
        <v>401</v>
      </c>
      <c r="AC587" s="79" t="s">
        <v>401</v>
      </c>
      <c r="AD587" s="79">
        <v>138000</v>
      </c>
      <c r="AE587" s="79"/>
      <c r="AF587" s="79">
        <v>0</v>
      </c>
      <c r="AG587" s="79"/>
      <c r="AH587" s="79"/>
      <c r="AI587" s="79"/>
      <c r="AJ587" s="79">
        <v>1</v>
      </c>
      <c r="AK587" s="79">
        <v>1</v>
      </c>
      <c r="AL587" s="79">
        <v>1462</v>
      </c>
      <c r="AM587" s="79" t="s">
        <v>2693</v>
      </c>
      <c r="AN587" s="79"/>
      <c r="AO587" s="79"/>
      <c r="AP587" s="79"/>
      <c r="AQ587" s="79"/>
      <c r="AR587" s="79"/>
      <c r="AS587" s="79"/>
      <c r="AT587" s="79"/>
      <c r="AU587" s="79"/>
      <c r="AV587" s="79"/>
      <c r="AW587" s="79"/>
      <c r="AX587" s="79"/>
      <c r="AY587" s="79"/>
      <c r="AZ587" s="79"/>
      <c r="BA587" s="79"/>
      <c r="BB587" s="79"/>
      <c r="BC587" s="79"/>
      <c r="BD587" s="79"/>
      <c r="BE587" s="79"/>
      <c r="BF587" s="79"/>
      <c r="BG587" s="79"/>
      <c r="BH587" s="79"/>
      <c r="BI587" s="79"/>
      <c r="BJ587" s="79"/>
      <c r="BK587" s="79" t="s">
        <v>2694</v>
      </c>
      <c r="BL587" s="79" t="s">
        <v>2704</v>
      </c>
      <c r="BM587" s="79" t="s">
        <v>2698</v>
      </c>
      <c r="BN587" s="79" t="s">
        <v>2696</v>
      </c>
      <c r="BO587" s="79" t="s">
        <v>2697</v>
      </c>
      <c r="BP587" s="79" t="s">
        <v>2698</v>
      </c>
      <c r="BQ587" s="79" t="s">
        <v>2699</v>
      </c>
      <c r="BR587" s="79" t="s">
        <v>2693</v>
      </c>
      <c r="BS587" s="79" t="s">
        <v>2699</v>
      </c>
      <c r="BT587" s="79" t="s">
        <v>2696</v>
      </c>
      <c r="BU587" s="79">
        <v>1</v>
      </c>
      <c r="BV587" s="79" t="s">
        <v>2696</v>
      </c>
      <c r="BW587" s="79" t="s">
        <v>2698</v>
      </c>
      <c r="BX587" s="79" t="s">
        <v>2696</v>
      </c>
      <c r="BY587" s="79" t="s">
        <v>2699</v>
      </c>
      <c r="BZ587" s="79" t="s">
        <v>2699</v>
      </c>
      <c r="CA587" s="79" t="s">
        <v>2693</v>
      </c>
      <c r="CB587" s="79">
        <v>9</v>
      </c>
      <c r="CC587" s="79" t="s">
        <v>2699</v>
      </c>
      <c r="CD587" s="79" t="s">
        <v>2696</v>
      </c>
      <c r="CE587" s="79"/>
      <c r="CF587" s="81" t="s">
        <v>4001</v>
      </c>
      <c r="CG587" s="81" t="s">
        <v>4002</v>
      </c>
      <c r="CH587" s="79" t="s">
        <v>2693</v>
      </c>
      <c r="CI587" s="79" t="s">
        <v>2076</v>
      </c>
      <c r="CJ587" s="79" t="s">
        <v>2701</v>
      </c>
      <c r="CK587" s="145">
        <v>0</v>
      </c>
      <c r="CL587"/>
    </row>
    <row r="588" spans="1:90">
      <c r="A588" s="79" t="s">
        <v>3651</v>
      </c>
      <c r="B588" s="79" t="s">
        <v>3993</v>
      </c>
      <c r="C588" s="79"/>
      <c r="D588" s="79" t="s">
        <v>688</v>
      </c>
      <c r="E588" s="79" t="s">
        <v>3993</v>
      </c>
      <c r="F588" s="79" t="s">
        <v>3652</v>
      </c>
      <c r="G588" s="79" t="s">
        <v>2448</v>
      </c>
      <c r="H588" s="79" t="s">
        <v>1201</v>
      </c>
      <c r="I588" s="79" t="s">
        <v>1202</v>
      </c>
      <c r="J588" s="79" t="s">
        <v>1203</v>
      </c>
      <c r="K588" s="79" t="s">
        <v>565</v>
      </c>
      <c r="L588" s="79" t="s">
        <v>398</v>
      </c>
      <c r="M588" s="79" t="s">
        <v>399</v>
      </c>
      <c r="N588" s="79" t="s">
        <v>1909</v>
      </c>
      <c r="O588" s="79" t="s">
        <v>106</v>
      </c>
      <c r="P588" s="79">
        <v>4</v>
      </c>
      <c r="Q588" s="79" t="s">
        <v>106</v>
      </c>
      <c r="R588" s="79" t="s">
        <v>2727</v>
      </c>
      <c r="S588" s="79" t="s">
        <v>2764</v>
      </c>
      <c r="T588" s="79" t="s">
        <v>2703</v>
      </c>
      <c r="U588" s="79" t="s">
        <v>401</v>
      </c>
      <c r="AC588" s="79" t="s">
        <v>401</v>
      </c>
      <c r="AD588" s="79">
        <v>138000</v>
      </c>
      <c r="AE588" s="79"/>
      <c r="AF588" s="79">
        <v>0</v>
      </c>
      <c r="AG588" s="79"/>
      <c r="AH588" s="79"/>
      <c r="AI588" s="79"/>
      <c r="AJ588" s="79">
        <v>1</v>
      </c>
      <c r="AK588" s="79">
        <v>1</v>
      </c>
      <c r="AL588" s="79">
        <v>1462</v>
      </c>
      <c r="AM588" s="79" t="s">
        <v>2693</v>
      </c>
      <c r="AN588" s="79"/>
      <c r="AO588" s="79"/>
      <c r="AP588" s="79"/>
      <c r="AQ588" s="79"/>
      <c r="AR588" s="79"/>
      <c r="AS588" s="79"/>
      <c r="AT588" s="79"/>
      <c r="AU588" s="79"/>
      <c r="AV588" s="79"/>
      <c r="AW588" s="79"/>
      <c r="AX588" s="79"/>
      <c r="AY588" s="79"/>
      <c r="AZ588" s="79"/>
      <c r="BA588" s="79"/>
      <c r="BB588" s="79"/>
      <c r="BC588" s="79"/>
      <c r="BD588" s="79"/>
      <c r="BE588" s="79"/>
      <c r="BF588" s="79"/>
      <c r="BG588" s="79"/>
      <c r="BH588" s="79"/>
      <c r="BI588" s="79"/>
      <c r="BJ588" s="79"/>
      <c r="BK588" s="79" t="s">
        <v>2694</v>
      </c>
      <c r="BL588" s="79" t="s">
        <v>2704</v>
      </c>
      <c r="BM588" s="79" t="s">
        <v>2698</v>
      </c>
      <c r="BN588" s="79" t="s">
        <v>2696</v>
      </c>
      <c r="BO588" s="79" t="s">
        <v>2697</v>
      </c>
      <c r="BP588" s="79" t="s">
        <v>2698</v>
      </c>
      <c r="BQ588" s="79" t="s">
        <v>2699</v>
      </c>
      <c r="BR588" s="79" t="s">
        <v>2693</v>
      </c>
      <c r="BS588" s="79" t="s">
        <v>2699</v>
      </c>
      <c r="BT588" s="79" t="s">
        <v>2696</v>
      </c>
      <c r="BU588" s="79">
        <v>1</v>
      </c>
      <c r="BV588" s="79" t="s">
        <v>2696</v>
      </c>
      <c r="BW588" s="79" t="s">
        <v>2698</v>
      </c>
      <c r="BX588" s="79" t="s">
        <v>2696</v>
      </c>
      <c r="BY588" s="79" t="s">
        <v>2699</v>
      </c>
      <c r="BZ588" s="79" t="s">
        <v>2699</v>
      </c>
      <c r="CA588" s="79" t="s">
        <v>2693</v>
      </c>
      <c r="CB588" s="79">
        <v>9</v>
      </c>
      <c r="CC588" s="79" t="s">
        <v>2699</v>
      </c>
      <c r="CD588" s="79" t="s">
        <v>2696</v>
      </c>
      <c r="CE588" s="79"/>
      <c r="CF588" s="81" t="s">
        <v>4003</v>
      </c>
      <c r="CG588" s="81" t="s">
        <v>4004</v>
      </c>
      <c r="CH588" s="79" t="s">
        <v>2693</v>
      </c>
      <c r="CI588" s="79" t="s">
        <v>2076</v>
      </c>
      <c r="CJ588" s="79" t="s">
        <v>2701</v>
      </c>
      <c r="CK588" s="145">
        <v>0</v>
      </c>
      <c r="CL588"/>
    </row>
    <row r="589" spans="1:90">
      <c r="A589" s="79" t="s">
        <v>3653</v>
      </c>
      <c r="B589" s="79" t="s">
        <v>3993</v>
      </c>
      <c r="C589" s="79"/>
      <c r="D589" s="79" t="s">
        <v>688</v>
      </c>
      <c r="E589" s="79" t="s">
        <v>3993</v>
      </c>
      <c r="F589" s="79" t="s">
        <v>3654</v>
      </c>
      <c r="G589" s="79" t="s">
        <v>2448</v>
      </c>
      <c r="H589" s="79" t="s">
        <v>1201</v>
      </c>
      <c r="I589" s="79" t="s">
        <v>1202</v>
      </c>
      <c r="J589" s="79" t="s">
        <v>1203</v>
      </c>
      <c r="K589" s="79" t="s">
        <v>565</v>
      </c>
      <c r="L589" s="79" t="s">
        <v>398</v>
      </c>
      <c r="M589" s="79" t="s">
        <v>399</v>
      </c>
      <c r="N589" s="79" t="s">
        <v>1909</v>
      </c>
      <c r="O589" s="79" t="s">
        <v>106</v>
      </c>
      <c r="P589" s="79">
        <v>4</v>
      </c>
      <c r="Q589" s="79" t="s">
        <v>106</v>
      </c>
      <c r="R589" s="79" t="s">
        <v>2727</v>
      </c>
      <c r="S589" s="79" t="s">
        <v>2764</v>
      </c>
      <c r="T589" s="79" t="s">
        <v>2703</v>
      </c>
      <c r="U589" s="79" t="s">
        <v>401</v>
      </c>
      <c r="AC589" s="79" t="s">
        <v>401</v>
      </c>
      <c r="AD589" s="79">
        <v>138000</v>
      </c>
      <c r="AE589" s="79"/>
      <c r="AF589" s="79">
        <v>0</v>
      </c>
      <c r="AG589" s="79"/>
      <c r="AH589" s="79"/>
      <c r="AI589" s="79"/>
      <c r="AJ589" s="79">
        <v>1</v>
      </c>
      <c r="AK589" s="79">
        <v>1</v>
      </c>
      <c r="AL589" s="79">
        <v>1462</v>
      </c>
      <c r="AM589" s="79" t="s">
        <v>2693</v>
      </c>
      <c r="AN589" s="79"/>
      <c r="AO589" s="79"/>
      <c r="AP589" s="79"/>
      <c r="AQ589" s="79"/>
      <c r="AR589" s="79"/>
      <c r="AS589" s="79"/>
      <c r="AT589" s="79"/>
      <c r="AU589" s="79"/>
      <c r="AV589" s="79"/>
      <c r="AW589" s="79"/>
      <c r="AX589" s="79"/>
      <c r="AY589" s="79"/>
      <c r="AZ589" s="79"/>
      <c r="BA589" s="79"/>
      <c r="BB589" s="79"/>
      <c r="BC589" s="79"/>
      <c r="BD589" s="79"/>
      <c r="BE589" s="79"/>
      <c r="BF589" s="79"/>
      <c r="BG589" s="79"/>
      <c r="BH589" s="79"/>
      <c r="BI589" s="79"/>
      <c r="BJ589" s="79"/>
      <c r="BK589" s="79" t="s">
        <v>2694</v>
      </c>
      <c r="BL589" s="79" t="s">
        <v>2704</v>
      </c>
      <c r="BM589" s="79" t="s">
        <v>2698</v>
      </c>
      <c r="BN589" s="79" t="s">
        <v>2696</v>
      </c>
      <c r="BO589" s="79" t="s">
        <v>2697</v>
      </c>
      <c r="BP589" s="79" t="s">
        <v>2698</v>
      </c>
      <c r="BQ589" s="79" t="s">
        <v>2699</v>
      </c>
      <c r="BR589" s="79" t="s">
        <v>2693</v>
      </c>
      <c r="BS589" s="79" t="s">
        <v>2699</v>
      </c>
      <c r="BT589" s="79" t="s">
        <v>2696</v>
      </c>
      <c r="BU589" s="79">
        <v>1</v>
      </c>
      <c r="BV589" s="79" t="s">
        <v>2696</v>
      </c>
      <c r="BW589" s="79" t="s">
        <v>2698</v>
      </c>
      <c r="BX589" s="79" t="s">
        <v>2696</v>
      </c>
      <c r="BY589" s="79" t="s">
        <v>2699</v>
      </c>
      <c r="BZ589" s="79" t="s">
        <v>2699</v>
      </c>
      <c r="CA589" s="79" t="s">
        <v>2693</v>
      </c>
      <c r="CB589" s="79">
        <v>9</v>
      </c>
      <c r="CC589" s="79" t="s">
        <v>2699</v>
      </c>
      <c r="CD589" s="79" t="s">
        <v>2696</v>
      </c>
      <c r="CE589" s="79"/>
      <c r="CF589" s="81" t="s">
        <v>4005</v>
      </c>
      <c r="CG589" s="81" t="s">
        <v>4006</v>
      </c>
      <c r="CH589" s="79" t="s">
        <v>2693</v>
      </c>
      <c r="CI589" s="79" t="s">
        <v>2076</v>
      </c>
      <c r="CJ589" s="79" t="s">
        <v>2701</v>
      </c>
      <c r="CK589" s="145">
        <v>0</v>
      </c>
      <c r="CL589"/>
    </row>
    <row r="590" spans="1:90">
      <c r="A590" s="79" t="s">
        <v>3655</v>
      </c>
      <c r="B590" s="79" t="s">
        <v>3993</v>
      </c>
      <c r="C590" s="79"/>
      <c r="D590" s="79" t="s">
        <v>688</v>
      </c>
      <c r="E590" s="79" t="s">
        <v>3993</v>
      </c>
      <c r="F590" s="79" t="s">
        <v>3656</v>
      </c>
      <c r="G590" s="79" t="s">
        <v>2448</v>
      </c>
      <c r="H590" s="79" t="s">
        <v>1201</v>
      </c>
      <c r="I590" s="79" t="s">
        <v>1202</v>
      </c>
      <c r="J590" s="79" t="s">
        <v>1203</v>
      </c>
      <c r="K590" s="79" t="s">
        <v>565</v>
      </c>
      <c r="L590" s="79" t="s">
        <v>398</v>
      </c>
      <c r="M590" s="79" t="s">
        <v>399</v>
      </c>
      <c r="N590" s="79" t="s">
        <v>1909</v>
      </c>
      <c r="O590" s="79" t="s">
        <v>106</v>
      </c>
      <c r="P590" s="79">
        <v>4</v>
      </c>
      <c r="Q590" s="79" t="s">
        <v>106</v>
      </c>
      <c r="R590" s="79" t="s">
        <v>2727</v>
      </c>
      <c r="S590" s="79" t="s">
        <v>2764</v>
      </c>
      <c r="T590" s="79" t="s">
        <v>2703</v>
      </c>
      <c r="U590" s="79" t="s">
        <v>401</v>
      </c>
      <c r="AC590" s="79" t="s">
        <v>401</v>
      </c>
      <c r="AD590" s="79">
        <v>138000</v>
      </c>
      <c r="AE590" s="79"/>
      <c r="AF590" s="79">
        <v>0</v>
      </c>
      <c r="AG590" s="79"/>
      <c r="AH590" s="79"/>
      <c r="AI590" s="79"/>
      <c r="AJ590" s="79">
        <v>1</v>
      </c>
      <c r="AK590" s="79">
        <v>1</v>
      </c>
      <c r="AL590" s="79">
        <v>1462</v>
      </c>
      <c r="AM590" s="79" t="s">
        <v>2693</v>
      </c>
      <c r="AN590" s="79"/>
      <c r="AO590" s="79"/>
      <c r="AP590" s="79"/>
      <c r="AQ590" s="79"/>
      <c r="AR590" s="79"/>
      <c r="AS590" s="79"/>
      <c r="AT590" s="79"/>
      <c r="AU590" s="79"/>
      <c r="AV590" s="79"/>
      <c r="AW590" s="79"/>
      <c r="AX590" s="79"/>
      <c r="AY590" s="79"/>
      <c r="AZ590" s="79"/>
      <c r="BA590" s="79"/>
      <c r="BB590" s="79"/>
      <c r="BC590" s="79"/>
      <c r="BD590" s="79"/>
      <c r="BE590" s="79"/>
      <c r="BF590" s="79"/>
      <c r="BG590" s="79"/>
      <c r="BH590" s="79"/>
      <c r="BI590" s="79"/>
      <c r="BJ590" s="79"/>
      <c r="BK590" s="79" t="s">
        <v>2694</v>
      </c>
      <c r="BL590" s="79" t="s">
        <v>2704</v>
      </c>
      <c r="BM590" s="79" t="s">
        <v>2698</v>
      </c>
      <c r="BN590" s="79" t="s">
        <v>2696</v>
      </c>
      <c r="BO590" s="79" t="s">
        <v>2697</v>
      </c>
      <c r="BP590" s="79" t="s">
        <v>2698</v>
      </c>
      <c r="BQ590" s="79" t="s">
        <v>2699</v>
      </c>
      <c r="BR590" s="79" t="s">
        <v>2693</v>
      </c>
      <c r="BS590" s="79" t="s">
        <v>2699</v>
      </c>
      <c r="BT590" s="79" t="s">
        <v>2696</v>
      </c>
      <c r="BU590" s="79">
        <v>1</v>
      </c>
      <c r="BV590" s="79" t="s">
        <v>2696</v>
      </c>
      <c r="BW590" s="79" t="s">
        <v>2698</v>
      </c>
      <c r="BX590" s="79" t="s">
        <v>2696</v>
      </c>
      <c r="BY590" s="79" t="s">
        <v>2699</v>
      </c>
      <c r="BZ590" s="79" t="s">
        <v>2699</v>
      </c>
      <c r="CA590" s="79" t="s">
        <v>2693</v>
      </c>
      <c r="CB590" s="79">
        <v>9</v>
      </c>
      <c r="CC590" s="79" t="s">
        <v>2699</v>
      </c>
      <c r="CD590" s="79" t="s">
        <v>2696</v>
      </c>
      <c r="CE590" s="79"/>
      <c r="CF590" s="81" t="s">
        <v>4001</v>
      </c>
      <c r="CG590" s="81" t="s">
        <v>4007</v>
      </c>
      <c r="CH590" s="79" t="s">
        <v>2693</v>
      </c>
      <c r="CI590" s="79" t="s">
        <v>2076</v>
      </c>
      <c r="CJ590" s="79" t="s">
        <v>2701</v>
      </c>
      <c r="CK590" s="145">
        <v>0</v>
      </c>
      <c r="CL590"/>
    </row>
    <row r="591" spans="1:90">
      <c r="A591" s="79" t="s">
        <v>3657</v>
      </c>
      <c r="B591" s="79" t="s">
        <v>3993</v>
      </c>
      <c r="C591" s="79"/>
      <c r="D591" s="79" t="s">
        <v>688</v>
      </c>
      <c r="E591" s="79" t="s">
        <v>3993</v>
      </c>
      <c r="F591" s="79" t="s">
        <v>3658</v>
      </c>
      <c r="G591" s="79" t="s">
        <v>2448</v>
      </c>
      <c r="H591" s="79" t="s">
        <v>1201</v>
      </c>
      <c r="I591" s="79" t="s">
        <v>1202</v>
      </c>
      <c r="J591" s="79" t="s">
        <v>1203</v>
      </c>
      <c r="K591" s="79" t="s">
        <v>565</v>
      </c>
      <c r="L591" s="79" t="s">
        <v>398</v>
      </c>
      <c r="M591" s="79" t="s">
        <v>399</v>
      </c>
      <c r="N591" s="79" t="s">
        <v>1909</v>
      </c>
      <c r="O591" s="79" t="s">
        <v>106</v>
      </c>
      <c r="P591" s="79">
        <v>4</v>
      </c>
      <c r="Q591" s="79" t="s">
        <v>106</v>
      </c>
      <c r="R591" s="79" t="s">
        <v>2727</v>
      </c>
      <c r="S591" s="79" t="s">
        <v>2764</v>
      </c>
      <c r="T591" s="79" t="s">
        <v>2703</v>
      </c>
      <c r="U591" s="79" t="s">
        <v>401</v>
      </c>
      <c r="AC591" s="79" t="s">
        <v>401</v>
      </c>
      <c r="AD591" s="79">
        <v>138000</v>
      </c>
      <c r="AE591" s="79"/>
      <c r="AF591" s="79">
        <v>0</v>
      </c>
      <c r="AG591" s="79"/>
      <c r="AH591" s="79"/>
      <c r="AI591" s="79"/>
      <c r="AJ591" s="79">
        <v>1</v>
      </c>
      <c r="AK591" s="79">
        <v>1</v>
      </c>
      <c r="AL591" s="79">
        <v>1462</v>
      </c>
      <c r="AM591" s="79" t="s">
        <v>2693</v>
      </c>
      <c r="AN591" s="79"/>
      <c r="AO591" s="79"/>
      <c r="AP591" s="79"/>
      <c r="AQ591" s="79"/>
      <c r="AR591" s="79"/>
      <c r="AS591" s="79"/>
      <c r="AT591" s="79"/>
      <c r="AU591" s="79"/>
      <c r="AV591" s="79"/>
      <c r="AW591" s="79"/>
      <c r="AX591" s="79"/>
      <c r="AY591" s="79"/>
      <c r="AZ591" s="79"/>
      <c r="BA591" s="79"/>
      <c r="BB591" s="79"/>
      <c r="BC591" s="79"/>
      <c r="BD591" s="79"/>
      <c r="BE591" s="79"/>
      <c r="BF591" s="79"/>
      <c r="BG591" s="79"/>
      <c r="BH591" s="79"/>
      <c r="BI591" s="79"/>
      <c r="BJ591" s="79"/>
      <c r="BK591" s="79" t="s">
        <v>2694</v>
      </c>
      <c r="BL591" s="79" t="s">
        <v>2704</v>
      </c>
      <c r="BM591" s="79" t="s">
        <v>2698</v>
      </c>
      <c r="BN591" s="79" t="s">
        <v>2696</v>
      </c>
      <c r="BO591" s="79" t="s">
        <v>2697</v>
      </c>
      <c r="BP591" s="79" t="s">
        <v>2698</v>
      </c>
      <c r="BQ591" s="79" t="s">
        <v>2699</v>
      </c>
      <c r="BR591" s="79" t="s">
        <v>2693</v>
      </c>
      <c r="BS591" s="79" t="s">
        <v>2699</v>
      </c>
      <c r="BT591" s="79" t="s">
        <v>2696</v>
      </c>
      <c r="BU591" s="79">
        <v>1</v>
      </c>
      <c r="BV591" s="79" t="s">
        <v>2696</v>
      </c>
      <c r="BW591" s="79" t="s">
        <v>2698</v>
      </c>
      <c r="BX591" s="79" t="s">
        <v>2696</v>
      </c>
      <c r="BY591" s="79" t="s">
        <v>2699</v>
      </c>
      <c r="BZ591" s="79" t="s">
        <v>2699</v>
      </c>
      <c r="CA591" s="79" t="s">
        <v>2693</v>
      </c>
      <c r="CB591" s="79">
        <v>9</v>
      </c>
      <c r="CC591" s="79" t="s">
        <v>2699</v>
      </c>
      <c r="CD591" s="79" t="s">
        <v>2696</v>
      </c>
      <c r="CE591" s="79"/>
      <c r="CF591" s="81" t="s">
        <v>4008</v>
      </c>
      <c r="CG591" s="81" t="s">
        <v>4009</v>
      </c>
      <c r="CH591" s="79" t="s">
        <v>2693</v>
      </c>
      <c r="CI591" s="79" t="s">
        <v>2076</v>
      </c>
      <c r="CJ591" s="79" t="s">
        <v>2701</v>
      </c>
      <c r="CK591" s="145">
        <v>0</v>
      </c>
      <c r="CL591"/>
    </row>
    <row r="592" spans="1:90">
      <c r="A592" s="79" t="s">
        <v>3659</v>
      </c>
      <c r="B592" s="79" t="s">
        <v>3993</v>
      </c>
      <c r="C592" s="79"/>
      <c r="D592" s="79" t="s">
        <v>688</v>
      </c>
      <c r="E592" s="79" t="s">
        <v>3993</v>
      </c>
      <c r="F592" s="79" t="s">
        <v>3660</v>
      </c>
      <c r="G592" s="79" t="s">
        <v>2448</v>
      </c>
      <c r="H592" s="79" t="s">
        <v>1201</v>
      </c>
      <c r="I592" s="79" t="s">
        <v>1202</v>
      </c>
      <c r="J592" s="79" t="s">
        <v>1203</v>
      </c>
      <c r="K592" s="79" t="s">
        <v>565</v>
      </c>
      <c r="L592" s="79" t="s">
        <v>398</v>
      </c>
      <c r="M592" s="79" t="s">
        <v>399</v>
      </c>
      <c r="N592" s="79" t="s">
        <v>1909</v>
      </c>
      <c r="O592" s="79" t="s">
        <v>106</v>
      </c>
      <c r="P592" s="79">
        <v>4</v>
      </c>
      <c r="Q592" s="79" t="s">
        <v>106</v>
      </c>
      <c r="R592" s="79" t="s">
        <v>2727</v>
      </c>
      <c r="S592" s="79" t="s">
        <v>2764</v>
      </c>
      <c r="T592" s="79" t="s">
        <v>2703</v>
      </c>
      <c r="U592" s="79" t="s">
        <v>401</v>
      </c>
      <c r="AC592" s="79" t="s">
        <v>401</v>
      </c>
      <c r="AD592" s="79">
        <v>138000</v>
      </c>
      <c r="AE592" s="79"/>
      <c r="AF592" s="79">
        <v>0</v>
      </c>
      <c r="AG592" s="79"/>
      <c r="AH592" s="79"/>
      <c r="AI592" s="79"/>
      <c r="AJ592" s="79">
        <v>1</v>
      </c>
      <c r="AK592" s="79">
        <v>1</v>
      </c>
      <c r="AL592" s="79">
        <v>1462</v>
      </c>
      <c r="AM592" s="79" t="s">
        <v>2693</v>
      </c>
      <c r="AN592" s="79"/>
      <c r="AO592" s="79"/>
      <c r="AP592" s="79"/>
      <c r="AQ592" s="79"/>
      <c r="AR592" s="79"/>
      <c r="AS592" s="79"/>
      <c r="AT592" s="79"/>
      <c r="AU592" s="79"/>
      <c r="AV592" s="79"/>
      <c r="AW592" s="79"/>
      <c r="AX592" s="79"/>
      <c r="AY592" s="79"/>
      <c r="AZ592" s="79"/>
      <c r="BA592" s="79"/>
      <c r="BB592" s="79"/>
      <c r="BC592" s="79"/>
      <c r="BD592" s="79"/>
      <c r="BE592" s="79"/>
      <c r="BF592" s="79"/>
      <c r="BG592" s="79"/>
      <c r="BH592" s="79"/>
      <c r="BI592" s="79"/>
      <c r="BJ592" s="79"/>
      <c r="BK592" s="79" t="s">
        <v>2694</v>
      </c>
      <c r="BL592" s="79" t="s">
        <v>2704</v>
      </c>
      <c r="BM592" s="79" t="s">
        <v>2698</v>
      </c>
      <c r="BN592" s="79" t="s">
        <v>2696</v>
      </c>
      <c r="BO592" s="79" t="s">
        <v>2697</v>
      </c>
      <c r="BP592" s="79" t="s">
        <v>2698</v>
      </c>
      <c r="BQ592" s="79" t="s">
        <v>2699</v>
      </c>
      <c r="BR592" s="79" t="s">
        <v>2693</v>
      </c>
      <c r="BS592" s="79" t="s">
        <v>2699</v>
      </c>
      <c r="BT592" s="79" t="s">
        <v>2696</v>
      </c>
      <c r="BU592" s="79">
        <v>1</v>
      </c>
      <c r="BV592" s="79" t="s">
        <v>2696</v>
      </c>
      <c r="BW592" s="79" t="s">
        <v>2698</v>
      </c>
      <c r="BX592" s="79" t="s">
        <v>2696</v>
      </c>
      <c r="BY592" s="79" t="s">
        <v>2699</v>
      </c>
      <c r="BZ592" s="79" t="s">
        <v>2699</v>
      </c>
      <c r="CA592" s="79" t="s">
        <v>2693</v>
      </c>
      <c r="CB592" s="79">
        <v>9</v>
      </c>
      <c r="CC592" s="79" t="s">
        <v>2699</v>
      </c>
      <c r="CD592" s="79" t="s">
        <v>2696</v>
      </c>
      <c r="CE592" s="79"/>
      <c r="CF592" s="81" t="s">
        <v>3998</v>
      </c>
      <c r="CG592" s="81" t="s">
        <v>4010</v>
      </c>
      <c r="CH592" s="79" t="s">
        <v>2693</v>
      </c>
      <c r="CI592" s="79" t="s">
        <v>2076</v>
      </c>
      <c r="CJ592" s="79" t="s">
        <v>2701</v>
      </c>
      <c r="CK592" s="145">
        <v>0</v>
      </c>
      <c r="CL592"/>
    </row>
    <row r="593" spans="1:90">
      <c r="A593" s="79" t="s">
        <v>3661</v>
      </c>
      <c r="B593" s="79" t="s">
        <v>3993</v>
      </c>
      <c r="C593" s="79"/>
      <c r="D593" s="79" t="s">
        <v>688</v>
      </c>
      <c r="E593" s="79" t="s">
        <v>3993</v>
      </c>
      <c r="F593" s="79" t="s">
        <v>3662</v>
      </c>
      <c r="G593" s="79" t="s">
        <v>2448</v>
      </c>
      <c r="H593" s="79" t="s">
        <v>1201</v>
      </c>
      <c r="I593" s="79" t="s">
        <v>1202</v>
      </c>
      <c r="J593" s="79" t="s">
        <v>1203</v>
      </c>
      <c r="K593" s="79" t="s">
        <v>565</v>
      </c>
      <c r="L593" s="79" t="s">
        <v>398</v>
      </c>
      <c r="M593" s="79" t="s">
        <v>399</v>
      </c>
      <c r="N593" s="79" t="s">
        <v>1909</v>
      </c>
      <c r="O593" s="79" t="s">
        <v>106</v>
      </c>
      <c r="P593" s="79">
        <v>4</v>
      </c>
      <c r="Q593" s="79" t="s">
        <v>106</v>
      </c>
      <c r="R593" s="79" t="s">
        <v>2727</v>
      </c>
      <c r="S593" s="79" t="s">
        <v>2764</v>
      </c>
      <c r="T593" s="79" t="s">
        <v>2703</v>
      </c>
      <c r="U593" s="79" t="s">
        <v>401</v>
      </c>
      <c r="AC593" s="79" t="s">
        <v>401</v>
      </c>
      <c r="AD593" s="79">
        <v>138000</v>
      </c>
      <c r="AE593" s="79"/>
      <c r="AF593" s="79">
        <v>0</v>
      </c>
      <c r="AG593" s="79"/>
      <c r="AH593" s="79"/>
      <c r="AI593" s="79"/>
      <c r="AJ593" s="79">
        <v>1</v>
      </c>
      <c r="AK593" s="79">
        <v>1</v>
      </c>
      <c r="AL593" s="79">
        <v>1462</v>
      </c>
      <c r="AM593" s="79" t="s">
        <v>2693</v>
      </c>
      <c r="AN593" s="79"/>
      <c r="AO593" s="79"/>
      <c r="AP593" s="79"/>
      <c r="AQ593" s="79"/>
      <c r="AR593" s="79"/>
      <c r="AS593" s="79"/>
      <c r="AT593" s="79"/>
      <c r="AU593" s="79"/>
      <c r="AV593" s="79"/>
      <c r="AW593" s="79"/>
      <c r="AX593" s="79"/>
      <c r="AY593" s="79"/>
      <c r="AZ593" s="79"/>
      <c r="BA593" s="79"/>
      <c r="BB593" s="79"/>
      <c r="BC593" s="79"/>
      <c r="BD593" s="79"/>
      <c r="BE593" s="79"/>
      <c r="BF593" s="79"/>
      <c r="BG593" s="79"/>
      <c r="BH593" s="79"/>
      <c r="BI593" s="79"/>
      <c r="BJ593" s="79"/>
      <c r="BK593" s="79" t="s">
        <v>2694</v>
      </c>
      <c r="BL593" s="79" t="s">
        <v>2704</v>
      </c>
      <c r="BM593" s="79" t="s">
        <v>2698</v>
      </c>
      <c r="BN593" s="79" t="s">
        <v>2696</v>
      </c>
      <c r="BO593" s="79" t="s">
        <v>2697</v>
      </c>
      <c r="BP593" s="79" t="s">
        <v>2698</v>
      </c>
      <c r="BQ593" s="79" t="s">
        <v>2699</v>
      </c>
      <c r="BR593" s="79" t="s">
        <v>2693</v>
      </c>
      <c r="BS593" s="79" t="s">
        <v>2699</v>
      </c>
      <c r="BT593" s="79" t="s">
        <v>2696</v>
      </c>
      <c r="BU593" s="79">
        <v>1</v>
      </c>
      <c r="BV593" s="79" t="s">
        <v>2696</v>
      </c>
      <c r="BW593" s="79" t="s">
        <v>2698</v>
      </c>
      <c r="BX593" s="79" t="s">
        <v>2696</v>
      </c>
      <c r="BY593" s="79" t="s">
        <v>2699</v>
      </c>
      <c r="BZ593" s="79" t="s">
        <v>2699</v>
      </c>
      <c r="CA593" s="79" t="s">
        <v>2693</v>
      </c>
      <c r="CB593" s="79">
        <v>9</v>
      </c>
      <c r="CC593" s="79" t="s">
        <v>2699</v>
      </c>
      <c r="CD593" s="79" t="s">
        <v>2696</v>
      </c>
      <c r="CE593" s="79"/>
      <c r="CF593" s="81" t="s">
        <v>4011</v>
      </c>
      <c r="CG593" s="81" t="s">
        <v>4012</v>
      </c>
      <c r="CH593" s="79" t="s">
        <v>2693</v>
      </c>
      <c r="CI593" s="79" t="s">
        <v>2076</v>
      </c>
      <c r="CJ593" s="79" t="s">
        <v>2701</v>
      </c>
      <c r="CK593" s="145">
        <v>0</v>
      </c>
      <c r="CL593"/>
    </row>
    <row r="594" spans="1:90">
      <c r="A594" s="79" t="s">
        <v>3663</v>
      </c>
      <c r="B594" s="79" t="s">
        <v>3993</v>
      </c>
      <c r="C594" s="79"/>
      <c r="D594" s="79" t="s">
        <v>688</v>
      </c>
      <c r="E594" s="79" t="s">
        <v>3993</v>
      </c>
      <c r="F594" s="79" t="s">
        <v>3664</v>
      </c>
      <c r="G594" s="79" t="s">
        <v>2448</v>
      </c>
      <c r="H594" s="79" t="s">
        <v>1201</v>
      </c>
      <c r="I594" s="79" t="s">
        <v>1202</v>
      </c>
      <c r="J594" s="79" t="s">
        <v>1203</v>
      </c>
      <c r="K594" s="79" t="s">
        <v>565</v>
      </c>
      <c r="L594" s="79" t="s">
        <v>398</v>
      </c>
      <c r="M594" s="79" t="s">
        <v>399</v>
      </c>
      <c r="N594" s="79" t="s">
        <v>1909</v>
      </c>
      <c r="O594" s="79" t="s">
        <v>106</v>
      </c>
      <c r="P594" s="79">
        <v>4</v>
      </c>
      <c r="Q594" s="79" t="s">
        <v>106</v>
      </c>
      <c r="R594" s="79" t="s">
        <v>2727</v>
      </c>
      <c r="S594" s="79" t="s">
        <v>2764</v>
      </c>
      <c r="T594" s="79" t="s">
        <v>2703</v>
      </c>
      <c r="U594" s="79" t="s">
        <v>401</v>
      </c>
      <c r="AC594" s="79" t="s">
        <v>401</v>
      </c>
      <c r="AD594" s="79">
        <v>138000</v>
      </c>
      <c r="AE594" s="79"/>
      <c r="AF594" s="79">
        <v>0</v>
      </c>
      <c r="AG594" s="79"/>
      <c r="AH594" s="79"/>
      <c r="AI594" s="79"/>
      <c r="AJ594" s="79">
        <v>1</v>
      </c>
      <c r="AK594" s="79">
        <v>1</v>
      </c>
      <c r="AL594" s="79">
        <v>1462</v>
      </c>
      <c r="AM594" s="79" t="s">
        <v>2693</v>
      </c>
      <c r="AN594" s="79"/>
      <c r="AO594" s="79"/>
      <c r="AP594" s="79"/>
      <c r="AQ594" s="79"/>
      <c r="AR594" s="79"/>
      <c r="AS594" s="79"/>
      <c r="AT594" s="79"/>
      <c r="AU594" s="79"/>
      <c r="AV594" s="79"/>
      <c r="AW594" s="79"/>
      <c r="AX594" s="79"/>
      <c r="AY594" s="79"/>
      <c r="AZ594" s="79"/>
      <c r="BA594" s="79"/>
      <c r="BB594" s="79"/>
      <c r="BC594" s="79"/>
      <c r="BD594" s="79"/>
      <c r="BE594" s="79"/>
      <c r="BF594" s="79"/>
      <c r="BG594" s="79"/>
      <c r="BH594" s="79"/>
      <c r="BI594" s="79"/>
      <c r="BJ594" s="79"/>
      <c r="BK594" s="79" t="s">
        <v>2694</v>
      </c>
      <c r="BL594" s="79" t="s">
        <v>2704</v>
      </c>
      <c r="BM594" s="79" t="s">
        <v>2698</v>
      </c>
      <c r="BN594" s="79" t="s">
        <v>2696</v>
      </c>
      <c r="BO594" s="79" t="s">
        <v>2697</v>
      </c>
      <c r="BP594" s="79" t="s">
        <v>2698</v>
      </c>
      <c r="BQ594" s="79" t="s">
        <v>2699</v>
      </c>
      <c r="BR594" s="79" t="s">
        <v>2693</v>
      </c>
      <c r="BS594" s="79" t="s">
        <v>2699</v>
      </c>
      <c r="BT594" s="79" t="s">
        <v>2696</v>
      </c>
      <c r="BU594" s="79">
        <v>1</v>
      </c>
      <c r="BV594" s="79" t="s">
        <v>2696</v>
      </c>
      <c r="BW594" s="79" t="s">
        <v>2698</v>
      </c>
      <c r="BX594" s="79" t="s">
        <v>2696</v>
      </c>
      <c r="BY594" s="79" t="s">
        <v>2699</v>
      </c>
      <c r="BZ594" s="79" t="s">
        <v>2699</v>
      </c>
      <c r="CA594" s="79" t="s">
        <v>2693</v>
      </c>
      <c r="CB594" s="79">
        <v>9</v>
      </c>
      <c r="CC594" s="79" t="s">
        <v>2699</v>
      </c>
      <c r="CD594" s="79" t="s">
        <v>2696</v>
      </c>
      <c r="CE594" s="79"/>
      <c r="CF594" s="81" t="s">
        <v>4013</v>
      </c>
      <c r="CG594" s="81" t="s">
        <v>4014</v>
      </c>
      <c r="CH594" s="79" t="s">
        <v>2693</v>
      </c>
      <c r="CI594" s="79" t="s">
        <v>2076</v>
      </c>
      <c r="CJ594" s="79" t="s">
        <v>2701</v>
      </c>
      <c r="CK594" s="145">
        <v>0</v>
      </c>
      <c r="CL594"/>
    </row>
    <row r="595" spans="1:90">
      <c r="A595" s="79" t="s">
        <v>3665</v>
      </c>
      <c r="B595" s="79" t="s">
        <v>3993</v>
      </c>
      <c r="C595" s="79"/>
      <c r="D595" s="79" t="s">
        <v>688</v>
      </c>
      <c r="E595" s="79" t="s">
        <v>3993</v>
      </c>
      <c r="F595" s="79" t="s">
        <v>3666</v>
      </c>
      <c r="G595" s="79" t="s">
        <v>2448</v>
      </c>
      <c r="H595" s="79" t="s">
        <v>1201</v>
      </c>
      <c r="I595" s="79" t="s">
        <v>1202</v>
      </c>
      <c r="J595" s="79" t="s">
        <v>1203</v>
      </c>
      <c r="K595" s="79" t="s">
        <v>565</v>
      </c>
      <c r="L595" s="79" t="s">
        <v>398</v>
      </c>
      <c r="M595" s="79" t="s">
        <v>399</v>
      </c>
      <c r="N595" s="79" t="s">
        <v>1909</v>
      </c>
      <c r="O595" s="79" t="s">
        <v>106</v>
      </c>
      <c r="P595" s="79">
        <v>4</v>
      </c>
      <c r="Q595" s="79" t="s">
        <v>106</v>
      </c>
      <c r="R595" s="79" t="s">
        <v>2727</v>
      </c>
      <c r="S595" s="79" t="s">
        <v>2764</v>
      </c>
      <c r="T595" s="79" t="s">
        <v>2703</v>
      </c>
      <c r="U595" s="79" t="s">
        <v>401</v>
      </c>
      <c r="AC595" s="79" t="s">
        <v>401</v>
      </c>
      <c r="AD595" s="79">
        <v>138000</v>
      </c>
      <c r="AE595" s="79"/>
      <c r="AF595" s="79">
        <v>0</v>
      </c>
      <c r="AG595" s="79"/>
      <c r="AH595" s="79"/>
      <c r="AI595" s="79"/>
      <c r="AJ595" s="79">
        <v>1</v>
      </c>
      <c r="AK595" s="79">
        <v>1</v>
      </c>
      <c r="AL595" s="79">
        <v>1462</v>
      </c>
      <c r="AM595" s="79" t="s">
        <v>2693</v>
      </c>
      <c r="AN595" s="79"/>
      <c r="AO595" s="79"/>
      <c r="AP595" s="79"/>
      <c r="AQ595" s="79"/>
      <c r="AR595" s="79"/>
      <c r="AS595" s="79"/>
      <c r="AT595" s="79"/>
      <c r="AU595" s="79"/>
      <c r="AV595" s="79"/>
      <c r="AW595" s="79"/>
      <c r="AX595" s="79"/>
      <c r="AY595" s="79"/>
      <c r="AZ595" s="79"/>
      <c r="BA595" s="79"/>
      <c r="BB595" s="79"/>
      <c r="BC595" s="79"/>
      <c r="BD595" s="79"/>
      <c r="BE595" s="79"/>
      <c r="BF595" s="79"/>
      <c r="BG595" s="79"/>
      <c r="BH595" s="79"/>
      <c r="BI595" s="79"/>
      <c r="BJ595" s="79"/>
      <c r="BK595" s="79" t="s">
        <v>2694</v>
      </c>
      <c r="BL595" s="79" t="s">
        <v>2704</v>
      </c>
      <c r="BM595" s="79" t="s">
        <v>2698</v>
      </c>
      <c r="BN595" s="79" t="s">
        <v>2696</v>
      </c>
      <c r="BO595" s="79" t="s">
        <v>2697</v>
      </c>
      <c r="BP595" s="79" t="s">
        <v>2698</v>
      </c>
      <c r="BQ595" s="79" t="s">
        <v>2699</v>
      </c>
      <c r="BR595" s="79" t="s">
        <v>2693</v>
      </c>
      <c r="BS595" s="79" t="s">
        <v>2699</v>
      </c>
      <c r="BT595" s="79" t="s">
        <v>2696</v>
      </c>
      <c r="BU595" s="79">
        <v>1</v>
      </c>
      <c r="BV595" s="79" t="s">
        <v>2696</v>
      </c>
      <c r="BW595" s="79" t="s">
        <v>2698</v>
      </c>
      <c r="BX595" s="79" t="s">
        <v>2696</v>
      </c>
      <c r="BY595" s="79" t="s">
        <v>2699</v>
      </c>
      <c r="BZ595" s="79" t="s">
        <v>2699</v>
      </c>
      <c r="CA595" s="79" t="s">
        <v>2693</v>
      </c>
      <c r="CB595" s="79">
        <v>9</v>
      </c>
      <c r="CC595" s="79" t="s">
        <v>2699</v>
      </c>
      <c r="CD595" s="79" t="s">
        <v>2696</v>
      </c>
      <c r="CE595" s="79"/>
      <c r="CF595" s="81" t="s">
        <v>4015</v>
      </c>
      <c r="CG595" s="81" t="s">
        <v>4016</v>
      </c>
      <c r="CH595" s="79" t="s">
        <v>2693</v>
      </c>
      <c r="CI595" s="79" t="s">
        <v>2076</v>
      </c>
      <c r="CJ595" s="79" t="s">
        <v>2701</v>
      </c>
      <c r="CK595" s="145">
        <v>0</v>
      </c>
      <c r="CL595"/>
    </row>
    <row r="596" spans="1:90">
      <c r="A596" s="79" t="s">
        <v>3565</v>
      </c>
      <c r="B596" s="89" t="s">
        <v>4042</v>
      </c>
      <c r="C596" s="89"/>
      <c r="D596" s="79" t="s">
        <v>688</v>
      </c>
      <c r="E596" s="79" t="s">
        <v>4035</v>
      </c>
      <c r="F596" s="79" t="s">
        <v>3566</v>
      </c>
      <c r="G596" s="79" t="s">
        <v>1873</v>
      </c>
      <c r="H596" s="79" t="s">
        <v>1201</v>
      </c>
      <c r="I596" s="79" t="s">
        <v>1202</v>
      </c>
      <c r="J596" s="79" t="s">
        <v>1203</v>
      </c>
      <c r="K596" s="79" t="s">
        <v>565</v>
      </c>
      <c r="L596" s="79" t="s">
        <v>398</v>
      </c>
      <c r="M596" s="79" t="s">
        <v>399</v>
      </c>
      <c r="N596" s="79" t="s">
        <v>1909</v>
      </c>
      <c r="O596" s="79" t="s">
        <v>106</v>
      </c>
      <c r="P596" s="79">
        <v>1</v>
      </c>
      <c r="Q596" s="79" t="s">
        <v>106</v>
      </c>
      <c r="R596" s="79" t="s">
        <v>2691</v>
      </c>
      <c r="S596" s="79" t="s">
        <v>2764</v>
      </c>
      <c r="T596" s="79" t="s">
        <v>2703</v>
      </c>
      <c r="U596" s="79" t="s">
        <v>401</v>
      </c>
      <c r="AC596" s="79" t="s">
        <v>401</v>
      </c>
      <c r="AD596" s="79">
        <v>483000</v>
      </c>
      <c r="AE596" s="79"/>
      <c r="AF596" s="79">
        <v>0</v>
      </c>
      <c r="AG596" s="79"/>
      <c r="AH596" s="79"/>
      <c r="AI596" s="79"/>
      <c r="AJ596" s="79">
        <v>1</v>
      </c>
      <c r="AK596" s="79">
        <v>1</v>
      </c>
      <c r="AL596" s="79">
        <v>5618</v>
      </c>
      <c r="AM596" s="79" t="s">
        <v>2693</v>
      </c>
      <c r="AN596" s="79"/>
      <c r="AO596" s="79"/>
      <c r="AP596" s="79"/>
      <c r="AQ596" s="79"/>
      <c r="AR596" s="79"/>
      <c r="AS596" s="79"/>
      <c r="AT596" s="79"/>
      <c r="AU596" s="79"/>
      <c r="AV596" s="79"/>
      <c r="AW596" s="79"/>
      <c r="AX596" s="79"/>
      <c r="AY596" s="79"/>
      <c r="AZ596" s="79"/>
      <c r="BA596" s="79"/>
      <c r="BB596" s="79"/>
      <c r="BC596" s="79"/>
      <c r="BD596" s="79"/>
      <c r="BE596" s="79"/>
      <c r="BF596" s="79"/>
      <c r="BG596" s="79"/>
      <c r="BH596" s="79"/>
      <c r="BI596" s="79"/>
      <c r="BJ596" s="79"/>
      <c r="BK596" s="79" t="s">
        <v>2694</v>
      </c>
      <c r="BL596" s="79" t="s">
        <v>2697</v>
      </c>
      <c r="BM596" s="79" t="s">
        <v>2699</v>
      </c>
      <c r="BN596" s="79" t="s">
        <v>2696</v>
      </c>
      <c r="BO596" s="79" t="s">
        <v>2697</v>
      </c>
      <c r="BP596" s="79" t="s">
        <v>2698</v>
      </c>
      <c r="BQ596" s="79" t="s">
        <v>2699</v>
      </c>
      <c r="BR596" s="79" t="s">
        <v>2699</v>
      </c>
      <c r="BS596" s="79" t="s">
        <v>2699</v>
      </c>
      <c r="BT596" s="79" t="s">
        <v>2696</v>
      </c>
      <c r="BU596" s="79">
        <v>1</v>
      </c>
      <c r="BV596" s="79" t="s">
        <v>2696</v>
      </c>
      <c r="BW596" s="79" t="s">
        <v>2695</v>
      </c>
      <c r="BX596" s="79" t="s">
        <v>2696</v>
      </c>
      <c r="BY596" s="79" t="s">
        <v>2699</v>
      </c>
      <c r="BZ596" s="79" t="s">
        <v>2693</v>
      </c>
      <c r="CA596" s="79" t="s">
        <v>2693</v>
      </c>
      <c r="CB596" s="79" t="s">
        <v>2699</v>
      </c>
      <c r="CC596" s="79" t="s">
        <v>2699</v>
      </c>
      <c r="CD596" s="79" t="s">
        <v>2696</v>
      </c>
      <c r="CE596" s="79"/>
      <c r="CF596" s="81" t="s">
        <v>4047</v>
      </c>
      <c r="CG596" s="81" t="s">
        <v>4048</v>
      </c>
      <c r="CH596" s="79" t="s">
        <v>2699</v>
      </c>
      <c r="CI596" s="79">
        <v>1</v>
      </c>
      <c r="CJ596" s="79" t="s">
        <v>2734</v>
      </c>
      <c r="CK596" s="145">
        <v>0</v>
      </c>
      <c r="CL596" s="99">
        <v>178000</v>
      </c>
    </row>
    <row r="597" spans="1:90">
      <c r="A597" s="83" t="s">
        <v>3102</v>
      </c>
      <c r="B597" s="83" t="s">
        <v>2591</v>
      </c>
      <c r="D597" s="83" t="s">
        <v>688</v>
      </c>
      <c r="E597" s="83" t="s">
        <v>2592</v>
      </c>
      <c r="F597" s="83" t="s">
        <v>969</v>
      </c>
      <c r="G597" s="83" t="s">
        <v>2300</v>
      </c>
      <c r="H597" s="83" t="s">
        <v>1201</v>
      </c>
      <c r="I597" s="83" t="s">
        <v>1202</v>
      </c>
      <c r="J597" s="83" t="s">
        <v>1203</v>
      </c>
      <c r="K597" s="83" t="s">
        <v>565</v>
      </c>
      <c r="L597" s="83" t="s">
        <v>398</v>
      </c>
      <c r="M597" s="83" t="s">
        <v>399</v>
      </c>
      <c r="N597" s="83" t="s">
        <v>1909</v>
      </c>
      <c r="O597" s="83" t="s">
        <v>106</v>
      </c>
      <c r="P597" s="83">
        <v>8</v>
      </c>
      <c r="Q597" s="83" t="s">
        <v>106</v>
      </c>
      <c r="R597" s="83" t="s">
        <v>2694</v>
      </c>
      <c r="S597" s="83" t="s">
        <v>2764</v>
      </c>
      <c r="T597" s="83" t="s">
        <v>2843</v>
      </c>
      <c r="U597" s="83" t="s">
        <v>401</v>
      </c>
      <c r="AC597" s="83" t="s">
        <v>401</v>
      </c>
      <c r="AD597" s="83">
        <v>13096000</v>
      </c>
      <c r="AF597" s="83">
        <v>0</v>
      </c>
      <c r="AJ597" s="83">
        <v>1</v>
      </c>
      <c r="AK597" s="83">
        <v>1</v>
      </c>
      <c r="AL597" s="83">
        <v>154192</v>
      </c>
      <c r="AM597" s="83" t="s">
        <v>2693</v>
      </c>
      <c r="BK597" s="83" t="s">
        <v>2694</v>
      </c>
      <c r="BL597" s="83" t="s">
        <v>2697</v>
      </c>
      <c r="BM597" s="83" t="s">
        <v>2699</v>
      </c>
      <c r="BN597" s="83" t="s">
        <v>2698</v>
      </c>
      <c r="BO597" s="83" t="s">
        <v>2697</v>
      </c>
      <c r="BP597" s="83" t="s">
        <v>2698</v>
      </c>
      <c r="BQ597" s="83" t="s">
        <v>2699</v>
      </c>
      <c r="BR597" s="83" t="s">
        <v>2699</v>
      </c>
      <c r="BS597" s="83" t="s">
        <v>2699</v>
      </c>
      <c r="BT597" s="83" t="s">
        <v>2696</v>
      </c>
      <c r="BU597" s="83" t="s">
        <v>2699</v>
      </c>
      <c r="BV597" s="83" t="s">
        <v>2696</v>
      </c>
      <c r="BW597" s="83" t="s">
        <v>2698</v>
      </c>
      <c r="BX597" s="83" t="s">
        <v>2696</v>
      </c>
      <c r="BY597" s="83" t="s">
        <v>2699</v>
      </c>
      <c r="BZ597" s="83" t="s">
        <v>2693</v>
      </c>
      <c r="CA597" s="83" t="s">
        <v>2693</v>
      </c>
      <c r="CB597" s="83" t="s">
        <v>2694</v>
      </c>
      <c r="CC597" s="83" t="s">
        <v>2699</v>
      </c>
      <c r="CD597" s="83" t="s">
        <v>2696</v>
      </c>
      <c r="CF597" s="83" t="s">
        <v>3103</v>
      </c>
      <c r="CG597" s="83" t="s">
        <v>3104</v>
      </c>
      <c r="CH597" s="83" t="s">
        <v>2695</v>
      </c>
      <c r="CI597" s="83" t="s">
        <v>648</v>
      </c>
      <c r="CJ597" s="83" t="s">
        <v>2722</v>
      </c>
      <c r="CK597" s="144">
        <v>3</v>
      </c>
      <c r="CL597"/>
    </row>
    <row r="598" spans="1:90">
      <c r="A598" s="83" t="s">
        <v>1329</v>
      </c>
      <c r="B598" s="83" t="s">
        <v>1660</v>
      </c>
      <c r="D598" s="83" t="s">
        <v>688</v>
      </c>
      <c r="E598" s="83" t="s">
        <v>894</v>
      </c>
      <c r="F598" s="83" t="s">
        <v>2761</v>
      </c>
      <c r="G598" s="83" t="s">
        <v>1896</v>
      </c>
      <c r="H598" s="83" t="s">
        <v>1201</v>
      </c>
      <c r="I598" s="83" t="s">
        <v>1202</v>
      </c>
      <c r="J598" s="83" t="s">
        <v>1203</v>
      </c>
      <c r="K598" s="83" t="s">
        <v>565</v>
      </c>
      <c r="L598" s="83" t="s">
        <v>398</v>
      </c>
      <c r="M598" s="83" t="s">
        <v>399</v>
      </c>
      <c r="N598" s="83" t="s">
        <v>1909</v>
      </c>
      <c r="O598" s="83" t="s">
        <v>106</v>
      </c>
      <c r="P598" s="83">
        <v>1</v>
      </c>
      <c r="Q598" s="83" t="s">
        <v>106</v>
      </c>
      <c r="R598" s="83" t="s">
        <v>2691</v>
      </c>
      <c r="S598" s="83" t="s">
        <v>1450</v>
      </c>
      <c r="T598" s="83" t="s">
        <v>2703</v>
      </c>
      <c r="U598" s="83" t="s">
        <v>401</v>
      </c>
      <c r="AC598" s="83" t="s">
        <v>401</v>
      </c>
      <c r="AD598" s="83">
        <v>50000</v>
      </c>
      <c r="AF598" s="83">
        <v>1000</v>
      </c>
      <c r="AJ598" s="83">
        <v>1</v>
      </c>
      <c r="AK598" s="83">
        <v>1</v>
      </c>
      <c r="AL598" s="83">
        <v>432</v>
      </c>
      <c r="AM598" s="83" t="s">
        <v>2693</v>
      </c>
      <c r="BK598" s="83" t="s">
        <v>2694</v>
      </c>
      <c r="BL598" s="83" t="s">
        <v>2704</v>
      </c>
      <c r="BM598" s="83" t="s">
        <v>2698</v>
      </c>
      <c r="BN598" s="83" t="s">
        <v>2699</v>
      </c>
      <c r="BO598" s="83" t="s">
        <v>2697</v>
      </c>
      <c r="BP598" s="83" t="s">
        <v>2695</v>
      </c>
      <c r="BQ598" s="83" t="s">
        <v>2699</v>
      </c>
      <c r="BR598" s="83" t="s">
        <v>2693</v>
      </c>
      <c r="BS598" s="83" t="s">
        <v>2699</v>
      </c>
      <c r="BT598" s="83">
        <v>0</v>
      </c>
      <c r="BU598" s="83" t="s">
        <v>2699</v>
      </c>
      <c r="BV598" s="83" t="s">
        <v>2696</v>
      </c>
      <c r="BW598" s="83" t="s">
        <v>2697</v>
      </c>
      <c r="BX598" s="83" t="s">
        <v>2696</v>
      </c>
      <c r="BY598" s="83" t="s">
        <v>2699</v>
      </c>
      <c r="BZ598" s="83" t="s">
        <v>2699</v>
      </c>
      <c r="CA598" s="83" t="s">
        <v>2693</v>
      </c>
      <c r="CB598" s="83">
        <v>9</v>
      </c>
      <c r="CC598" s="83" t="s">
        <v>2699</v>
      </c>
      <c r="CD598" s="83" t="s">
        <v>2696</v>
      </c>
      <c r="CF598" s="83" t="s">
        <v>2175</v>
      </c>
      <c r="CG598" s="83" t="s">
        <v>2176</v>
      </c>
      <c r="CH598" s="83" t="s">
        <v>2699</v>
      </c>
      <c r="CI598" s="83">
        <v>1</v>
      </c>
      <c r="CJ598" s="83" t="s">
        <v>2734</v>
      </c>
      <c r="CK598" s="144">
        <v>0</v>
      </c>
      <c r="CL598"/>
    </row>
    <row r="599" spans="1:90">
      <c r="A599" s="83" t="s">
        <v>3127</v>
      </c>
      <c r="B599" s="83" t="s">
        <v>2599</v>
      </c>
      <c r="D599" s="83" t="s">
        <v>688</v>
      </c>
      <c r="E599" s="83" t="s">
        <v>689</v>
      </c>
      <c r="F599" s="83" t="s">
        <v>3128</v>
      </c>
      <c r="G599" s="83" t="s">
        <v>2300</v>
      </c>
      <c r="H599" s="83" t="s">
        <v>1201</v>
      </c>
      <c r="I599" s="83" t="s">
        <v>1202</v>
      </c>
      <c r="J599" s="83" t="s">
        <v>1203</v>
      </c>
      <c r="K599" s="83" t="s">
        <v>565</v>
      </c>
      <c r="L599" s="83" t="s">
        <v>398</v>
      </c>
      <c r="M599" s="83" t="s">
        <v>399</v>
      </c>
      <c r="N599" s="83" t="s">
        <v>1909</v>
      </c>
      <c r="O599" s="83" t="s">
        <v>106</v>
      </c>
      <c r="P599" s="83">
        <v>4</v>
      </c>
      <c r="Q599" s="83" t="s">
        <v>106</v>
      </c>
      <c r="R599" s="83" t="s">
        <v>2730</v>
      </c>
      <c r="S599" s="83" t="s">
        <v>1458</v>
      </c>
      <c r="T599" s="83" t="s">
        <v>2843</v>
      </c>
      <c r="U599" s="83" t="s">
        <v>401</v>
      </c>
      <c r="AC599" s="83" t="s">
        <v>401</v>
      </c>
      <c r="AD599" s="83">
        <v>847000</v>
      </c>
      <c r="AF599" s="83">
        <v>0</v>
      </c>
      <c r="AJ599" s="83">
        <v>1</v>
      </c>
      <c r="AK599" s="83">
        <v>1</v>
      </c>
      <c r="AL599" s="83">
        <v>7159</v>
      </c>
      <c r="AM599" s="83" t="s">
        <v>2693</v>
      </c>
      <c r="BK599" s="83" t="s">
        <v>2694</v>
      </c>
      <c r="BL599" s="83" t="s">
        <v>2697</v>
      </c>
      <c r="BM599" s="83" t="s">
        <v>2693</v>
      </c>
      <c r="BN599" s="83" t="s">
        <v>2698</v>
      </c>
      <c r="BO599" s="83" t="s">
        <v>2697</v>
      </c>
      <c r="BP599" s="83" t="s">
        <v>2698</v>
      </c>
      <c r="BQ599" s="83" t="s">
        <v>2699</v>
      </c>
      <c r="BR599" s="83" t="s">
        <v>2693</v>
      </c>
      <c r="BS599" s="83" t="s">
        <v>2699</v>
      </c>
      <c r="BT599" s="83" t="s">
        <v>2696</v>
      </c>
      <c r="BU599" s="83" t="s">
        <v>2699</v>
      </c>
      <c r="BV599" s="83" t="s">
        <v>2696</v>
      </c>
      <c r="BW599" s="83" t="s">
        <v>2698</v>
      </c>
      <c r="BX599" s="83" t="s">
        <v>2696</v>
      </c>
      <c r="BY599" s="83" t="s">
        <v>2699</v>
      </c>
      <c r="BZ599" s="83" t="s">
        <v>2693</v>
      </c>
      <c r="CA599" s="83" t="s">
        <v>2693</v>
      </c>
      <c r="CB599" s="83" t="s">
        <v>2694</v>
      </c>
      <c r="CC599" s="83" t="s">
        <v>2699</v>
      </c>
      <c r="CD599" s="83" t="s">
        <v>2696</v>
      </c>
      <c r="CF599" s="83" t="s">
        <v>3129</v>
      </c>
      <c r="CG599" s="83" t="s">
        <v>3130</v>
      </c>
      <c r="CH599" s="83" t="s">
        <v>2693</v>
      </c>
      <c r="CI599" s="83" t="s">
        <v>3992</v>
      </c>
      <c r="CJ599" s="83" t="s">
        <v>2701</v>
      </c>
      <c r="CK599" s="144">
        <v>0</v>
      </c>
      <c r="CL599"/>
    </row>
    <row r="600" spans="1:90">
      <c r="A600" s="83" t="s">
        <v>1591</v>
      </c>
      <c r="B600" s="83" t="s">
        <v>2762</v>
      </c>
      <c r="D600" s="83" t="s">
        <v>688</v>
      </c>
      <c r="E600" s="83" t="s">
        <v>2763</v>
      </c>
      <c r="F600" s="83" t="s">
        <v>1787</v>
      </c>
      <c r="G600" s="83" t="s">
        <v>1897</v>
      </c>
      <c r="H600" s="83" t="s">
        <v>1201</v>
      </c>
      <c r="I600" s="83" t="s">
        <v>1202</v>
      </c>
      <c r="J600" s="83" t="s">
        <v>1203</v>
      </c>
      <c r="K600" s="83" t="s">
        <v>565</v>
      </c>
      <c r="L600" s="83" t="s">
        <v>398</v>
      </c>
      <c r="M600" s="83" t="s">
        <v>399</v>
      </c>
      <c r="N600" s="83" t="s">
        <v>1909</v>
      </c>
      <c r="O600" s="83" t="s">
        <v>106</v>
      </c>
      <c r="P600" s="83">
        <v>8</v>
      </c>
      <c r="Q600" s="83" t="s">
        <v>106</v>
      </c>
      <c r="R600" s="83" t="s">
        <v>2730</v>
      </c>
      <c r="S600" s="83" t="s">
        <v>2764</v>
      </c>
      <c r="T600" s="83" t="s">
        <v>2703</v>
      </c>
      <c r="U600" s="83" t="s">
        <v>401</v>
      </c>
      <c r="AC600" s="83" t="s">
        <v>401</v>
      </c>
      <c r="AD600" s="83">
        <v>8409000</v>
      </c>
      <c r="AF600" s="83">
        <v>0</v>
      </c>
      <c r="AJ600" s="83">
        <v>1</v>
      </c>
      <c r="AK600" s="83">
        <v>1</v>
      </c>
      <c r="AL600" s="83">
        <v>69260</v>
      </c>
      <c r="AM600" s="83" t="s">
        <v>2693</v>
      </c>
      <c r="BK600" s="83" t="s">
        <v>2694</v>
      </c>
      <c r="BL600" s="83" t="s">
        <v>2697</v>
      </c>
      <c r="BM600" s="83" t="s">
        <v>2699</v>
      </c>
      <c r="BN600" s="83" t="s">
        <v>2698</v>
      </c>
      <c r="BO600" s="83" t="s">
        <v>2697</v>
      </c>
      <c r="BP600" s="83" t="s">
        <v>2697</v>
      </c>
      <c r="BQ600" s="83" t="s">
        <v>2693</v>
      </c>
      <c r="BR600" s="83" t="s">
        <v>2699</v>
      </c>
      <c r="BS600" s="83" t="s">
        <v>2699</v>
      </c>
      <c r="BT600" s="83">
        <v>0</v>
      </c>
      <c r="BU600" s="83" t="s">
        <v>2699</v>
      </c>
      <c r="BV600" s="83" t="s">
        <v>2696</v>
      </c>
      <c r="BW600" s="83" t="s">
        <v>2698</v>
      </c>
      <c r="BX600" s="83" t="s">
        <v>2696</v>
      </c>
      <c r="BY600" s="83" t="s">
        <v>2699</v>
      </c>
      <c r="BZ600" s="83" t="s">
        <v>2699</v>
      </c>
      <c r="CA600" s="83" t="s">
        <v>2693</v>
      </c>
      <c r="CB600" s="83">
        <v>9</v>
      </c>
      <c r="CC600" s="83" t="s">
        <v>2699</v>
      </c>
      <c r="CD600" s="83" t="s">
        <v>2699</v>
      </c>
      <c r="CF600" s="83" t="s">
        <v>2171</v>
      </c>
      <c r="CG600" s="83" t="s">
        <v>2172</v>
      </c>
      <c r="CH600" s="83" t="s">
        <v>2695</v>
      </c>
      <c r="CI600" s="83" t="s">
        <v>648</v>
      </c>
      <c r="CJ600" s="83" t="s">
        <v>2731</v>
      </c>
      <c r="CK600" s="144">
        <v>0</v>
      </c>
      <c r="CL600"/>
    </row>
    <row r="601" spans="1:90">
      <c r="A601" s="83" t="s">
        <v>1592</v>
      </c>
      <c r="B601" s="83" t="s">
        <v>2765</v>
      </c>
      <c r="D601" s="83" t="s">
        <v>688</v>
      </c>
      <c r="E601" s="83" t="s">
        <v>2766</v>
      </c>
      <c r="F601" s="83" t="s">
        <v>1788</v>
      </c>
      <c r="G601" s="83" t="s">
        <v>1828</v>
      </c>
      <c r="H601" s="83" t="s">
        <v>1201</v>
      </c>
      <c r="I601" s="83" t="s">
        <v>1202</v>
      </c>
      <c r="J601" s="83" t="s">
        <v>1203</v>
      </c>
      <c r="K601" s="83" t="s">
        <v>565</v>
      </c>
      <c r="L601" s="83" t="s">
        <v>398</v>
      </c>
      <c r="M601" s="83" t="s">
        <v>399</v>
      </c>
      <c r="N601" s="83" t="s">
        <v>1909</v>
      </c>
      <c r="O601" s="83" t="s">
        <v>106</v>
      </c>
      <c r="P601" s="83">
        <v>8</v>
      </c>
      <c r="Q601" s="83" t="s">
        <v>106</v>
      </c>
      <c r="R601" s="83" t="s">
        <v>2767</v>
      </c>
      <c r="S601" s="83" t="s">
        <v>1444</v>
      </c>
      <c r="T601" s="83" t="s">
        <v>2703</v>
      </c>
      <c r="U601" s="83" t="s">
        <v>401</v>
      </c>
      <c r="AC601" s="83" t="s">
        <v>401</v>
      </c>
      <c r="AD601" s="83">
        <v>247000</v>
      </c>
      <c r="AF601" s="83">
        <v>0</v>
      </c>
      <c r="AJ601" s="83">
        <v>1</v>
      </c>
      <c r="AK601" s="83">
        <v>1</v>
      </c>
      <c r="AL601" s="83">
        <v>1800</v>
      </c>
      <c r="AM601" s="83" t="s">
        <v>2693</v>
      </c>
      <c r="BK601" s="83" t="s">
        <v>2694</v>
      </c>
      <c r="BL601" s="83" t="s">
        <v>2697</v>
      </c>
      <c r="BM601" s="83" t="s">
        <v>2699</v>
      </c>
      <c r="BN601" s="83" t="s">
        <v>2698</v>
      </c>
      <c r="BO601" s="83" t="s">
        <v>2697</v>
      </c>
      <c r="BP601" s="83" t="s">
        <v>2697</v>
      </c>
      <c r="BQ601" s="83" t="s">
        <v>2699</v>
      </c>
      <c r="BR601" s="83" t="s">
        <v>2699</v>
      </c>
      <c r="BS601" s="83" t="s">
        <v>2699</v>
      </c>
      <c r="BT601" s="83">
        <v>0</v>
      </c>
      <c r="BU601" s="83" t="s">
        <v>2699</v>
      </c>
      <c r="BV601" s="83" t="s">
        <v>2696</v>
      </c>
      <c r="BW601" s="83" t="s">
        <v>2698</v>
      </c>
      <c r="BX601" s="83" t="s">
        <v>2699</v>
      </c>
      <c r="BY601" s="83" t="s">
        <v>2699</v>
      </c>
      <c r="BZ601" s="83" t="s">
        <v>2699</v>
      </c>
      <c r="CA601" s="83" t="s">
        <v>2693</v>
      </c>
      <c r="CB601" s="83">
        <v>9</v>
      </c>
      <c r="CC601" s="83" t="s">
        <v>2696</v>
      </c>
      <c r="CD601" s="83" t="s">
        <v>2696</v>
      </c>
      <c r="CF601" s="83" t="s">
        <v>2167</v>
      </c>
      <c r="CG601" s="83" t="s">
        <v>2168</v>
      </c>
      <c r="CH601" s="83" t="s">
        <v>2695</v>
      </c>
      <c r="CI601" s="83" t="s">
        <v>648</v>
      </c>
      <c r="CJ601" s="83" t="s">
        <v>2731</v>
      </c>
      <c r="CK601" s="144">
        <v>0</v>
      </c>
      <c r="CL601"/>
    </row>
    <row r="602" spans="1:90">
      <c r="A602" s="79" t="s">
        <v>1592</v>
      </c>
      <c r="B602" s="79" t="s">
        <v>4038</v>
      </c>
      <c r="C602" s="79"/>
      <c r="D602" s="84" t="s">
        <v>688</v>
      </c>
      <c r="E602" s="79" t="s">
        <v>4039</v>
      </c>
      <c r="F602" s="79" t="s">
        <v>1788</v>
      </c>
      <c r="G602" s="79" t="s">
        <v>2440</v>
      </c>
      <c r="H602" s="79" t="s">
        <v>1201</v>
      </c>
      <c r="I602" s="79" t="s">
        <v>1202</v>
      </c>
      <c r="J602" s="79" t="s">
        <v>1203</v>
      </c>
      <c r="K602" s="79" t="s">
        <v>565</v>
      </c>
      <c r="L602" s="79" t="s">
        <v>398</v>
      </c>
      <c r="M602" s="79" t="s">
        <v>399</v>
      </c>
      <c r="N602" s="79" t="s">
        <v>1909</v>
      </c>
      <c r="O602" s="79" t="s">
        <v>106</v>
      </c>
      <c r="P602" s="79">
        <v>8</v>
      </c>
      <c r="Q602" s="79" t="s">
        <v>106</v>
      </c>
      <c r="R602" s="79">
        <v>24</v>
      </c>
      <c r="S602" s="79" t="s">
        <v>1444</v>
      </c>
      <c r="T602" s="79" t="s">
        <v>2703</v>
      </c>
      <c r="U602" s="79" t="s">
        <v>401</v>
      </c>
      <c r="AC602" s="79" t="s">
        <v>401</v>
      </c>
      <c r="AD602" s="85">
        <v>247000</v>
      </c>
      <c r="AE602" s="79"/>
      <c r="AF602" s="79">
        <v>0</v>
      </c>
      <c r="AG602" s="79"/>
      <c r="AH602" s="79"/>
      <c r="AI602" s="79"/>
      <c r="AJ602" s="79">
        <v>1</v>
      </c>
      <c r="AK602" s="79">
        <v>1</v>
      </c>
      <c r="AL602" s="85">
        <v>1800</v>
      </c>
      <c r="AM602" s="79" t="s">
        <v>2693</v>
      </c>
      <c r="AN602" s="79"/>
      <c r="AO602" s="79"/>
      <c r="AP602" s="79"/>
      <c r="AQ602" s="79"/>
      <c r="AR602" s="79"/>
      <c r="AS602" s="79"/>
      <c r="AT602" s="79"/>
      <c r="AU602" s="79"/>
      <c r="AV602" s="79"/>
      <c r="AW602" s="79"/>
      <c r="AX602" s="79"/>
      <c r="AY602" s="79"/>
      <c r="AZ602" s="79"/>
      <c r="BA602" s="79"/>
      <c r="BB602" s="79"/>
      <c r="BC602" s="79"/>
      <c r="BD602" s="79"/>
      <c r="BE602" s="79"/>
      <c r="BF602" s="79"/>
      <c r="BG602" s="79"/>
      <c r="BH602" s="79"/>
      <c r="BI602" s="79"/>
      <c r="BJ602" s="79"/>
      <c r="BK602" s="79">
        <v>9</v>
      </c>
      <c r="BL602" s="79">
        <v>3</v>
      </c>
      <c r="BM602" s="79">
        <v>2</v>
      </c>
      <c r="BN602" s="79">
        <v>0</v>
      </c>
      <c r="BO602" s="79">
        <v>3</v>
      </c>
      <c r="BP602" s="79">
        <v>3</v>
      </c>
      <c r="BQ602" s="79">
        <v>1</v>
      </c>
      <c r="BR602" s="79">
        <v>2</v>
      </c>
      <c r="BS602" s="79">
        <v>1</v>
      </c>
      <c r="BT602" s="79" t="s">
        <v>2696</v>
      </c>
      <c r="BU602" s="79">
        <v>1</v>
      </c>
      <c r="BV602" s="79">
        <v>0</v>
      </c>
      <c r="BW602" s="79">
        <v>5</v>
      </c>
      <c r="BX602" s="79">
        <v>0</v>
      </c>
      <c r="BY602" s="79">
        <v>1</v>
      </c>
      <c r="BZ602" s="79">
        <v>1</v>
      </c>
      <c r="CA602" s="79">
        <v>1</v>
      </c>
      <c r="CB602" s="79">
        <v>9</v>
      </c>
      <c r="CC602" s="79">
        <v>1</v>
      </c>
      <c r="CD602" s="79">
        <v>0</v>
      </c>
      <c r="CE602" s="79"/>
      <c r="CF602" s="86" t="s">
        <v>2167</v>
      </c>
      <c r="CG602" s="86" t="s">
        <v>2168</v>
      </c>
      <c r="CH602" s="79">
        <v>4</v>
      </c>
      <c r="CI602" s="79" t="s">
        <v>648</v>
      </c>
      <c r="CJ602" s="79">
        <v>151</v>
      </c>
      <c r="CK602" s="145">
        <v>0</v>
      </c>
      <c r="CL602"/>
    </row>
    <row r="603" spans="1:90">
      <c r="A603" s="83" t="s">
        <v>3136</v>
      </c>
      <c r="B603" s="83" t="s">
        <v>2603</v>
      </c>
      <c r="D603" s="83" t="s">
        <v>688</v>
      </c>
      <c r="E603" s="83" t="s">
        <v>674</v>
      </c>
      <c r="F603" s="83" t="s">
        <v>3137</v>
      </c>
      <c r="G603" s="83" t="s">
        <v>2303</v>
      </c>
      <c r="H603" s="83" t="s">
        <v>1201</v>
      </c>
      <c r="I603" s="83" t="s">
        <v>1202</v>
      </c>
      <c r="J603" s="83" t="s">
        <v>1203</v>
      </c>
      <c r="K603" s="83" t="s">
        <v>565</v>
      </c>
      <c r="L603" s="83" t="s">
        <v>398</v>
      </c>
      <c r="M603" s="83" t="s">
        <v>399</v>
      </c>
      <c r="N603" s="83" t="s">
        <v>1909</v>
      </c>
      <c r="O603" s="83" t="s">
        <v>106</v>
      </c>
      <c r="P603" s="83">
        <v>9</v>
      </c>
      <c r="Q603" s="83" t="s">
        <v>106</v>
      </c>
      <c r="R603" s="83" t="s">
        <v>2727</v>
      </c>
      <c r="S603" s="83" t="s">
        <v>2803</v>
      </c>
      <c r="T603" s="83" t="s">
        <v>2843</v>
      </c>
      <c r="U603" s="83" t="s">
        <v>401</v>
      </c>
      <c r="AC603" s="83" t="s">
        <v>401</v>
      </c>
      <c r="AD603" s="83">
        <v>177000</v>
      </c>
      <c r="AF603" s="83">
        <v>0</v>
      </c>
      <c r="AJ603" s="83">
        <v>1</v>
      </c>
      <c r="AK603" s="83">
        <v>1</v>
      </c>
      <c r="AL603" s="83">
        <v>4000</v>
      </c>
      <c r="AM603" s="83" t="s">
        <v>2693</v>
      </c>
      <c r="BK603" s="83" t="s">
        <v>2694</v>
      </c>
      <c r="BL603" s="83" t="s">
        <v>2693</v>
      </c>
      <c r="BM603" s="83" t="s">
        <v>2697</v>
      </c>
      <c r="BN603" s="83" t="s">
        <v>2696</v>
      </c>
      <c r="BO603" s="83" t="s">
        <v>2697</v>
      </c>
      <c r="BP603" s="83" t="s">
        <v>2697</v>
      </c>
      <c r="BQ603" s="83" t="s">
        <v>2699</v>
      </c>
      <c r="BR603" s="83" t="s">
        <v>2693</v>
      </c>
      <c r="BS603" s="83" t="s">
        <v>2699</v>
      </c>
      <c r="BT603" s="83" t="s">
        <v>2696</v>
      </c>
      <c r="BU603" s="83" t="s">
        <v>2699</v>
      </c>
      <c r="BV603" s="83" t="s">
        <v>2696</v>
      </c>
      <c r="BW603" s="83" t="s">
        <v>2693</v>
      </c>
      <c r="BX603" s="83" t="s">
        <v>2696</v>
      </c>
      <c r="BY603" s="83" t="s">
        <v>2699</v>
      </c>
      <c r="BZ603" s="83" t="s">
        <v>2693</v>
      </c>
      <c r="CA603" s="83" t="s">
        <v>2693</v>
      </c>
      <c r="CB603" s="83" t="s">
        <v>2694</v>
      </c>
      <c r="CC603" s="83" t="s">
        <v>2699</v>
      </c>
      <c r="CD603" s="83" t="s">
        <v>2696</v>
      </c>
      <c r="CF603" s="83" t="s">
        <v>3138</v>
      </c>
      <c r="CG603" s="83" t="s">
        <v>3139</v>
      </c>
      <c r="CH603" s="83" t="s">
        <v>2697</v>
      </c>
      <c r="CI603" s="83" t="s">
        <v>2695</v>
      </c>
      <c r="CJ603" s="83" t="s">
        <v>2757</v>
      </c>
      <c r="CK603" s="144">
        <v>0</v>
      </c>
      <c r="CL603"/>
    </row>
    <row r="604" spans="1:90">
      <c r="A604" s="79" t="s">
        <v>3562</v>
      </c>
      <c r="B604" s="89" t="s">
        <v>4042</v>
      </c>
      <c r="C604" s="89"/>
      <c r="D604" s="84" t="s">
        <v>688</v>
      </c>
      <c r="E604" s="79" t="s">
        <v>4034</v>
      </c>
      <c r="F604" s="79" t="s">
        <v>3564</v>
      </c>
      <c r="G604" s="79" t="s">
        <v>1873</v>
      </c>
      <c r="H604" s="79" t="s">
        <v>1201</v>
      </c>
      <c r="I604" s="79" t="s">
        <v>1202</v>
      </c>
      <c r="J604" s="79" t="s">
        <v>1203</v>
      </c>
      <c r="K604" s="79" t="s">
        <v>565</v>
      </c>
      <c r="L604" s="79" t="s">
        <v>398</v>
      </c>
      <c r="M604" s="79" t="s">
        <v>399</v>
      </c>
      <c r="N604" s="79" t="s">
        <v>1909</v>
      </c>
      <c r="O604" s="79" t="s">
        <v>106</v>
      </c>
      <c r="P604" s="79">
        <v>9</v>
      </c>
      <c r="Q604" s="79" t="s">
        <v>106</v>
      </c>
      <c r="R604" s="79" t="s">
        <v>2727</v>
      </c>
      <c r="S604" s="79" t="s">
        <v>2769</v>
      </c>
      <c r="T604" s="79" t="s">
        <v>2703</v>
      </c>
      <c r="U604" s="79" t="s">
        <v>401</v>
      </c>
      <c r="AC604" s="79" t="s">
        <v>401</v>
      </c>
      <c r="AD604" s="79">
        <v>229000</v>
      </c>
      <c r="AE604" s="79"/>
      <c r="AF604" s="79">
        <v>0</v>
      </c>
      <c r="AG604" s="79"/>
      <c r="AH604" s="79"/>
      <c r="AI604" s="79"/>
      <c r="AJ604" s="79">
        <v>1</v>
      </c>
      <c r="AK604" s="79">
        <v>1</v>
      </c>
      <c r="AL604" s="79">
        <v>5800</v>
      </c>
      <c r="AM604" s="79" t="s">
        <v>2693</v>
      </c>
      <c r="AN604" s="79"/>
      <c r="AO604" s="79"/>
      <c r="AP604" s="79"/>
      <c r="AQ604" s="79"/>
      <c r="AR604" s="79"/>
      <c r="AS604" s="79"/>
      <c r="AT604" s="79"/>
      <c r="AU604" s="79"/>
      <c r="AV604" s="79"/>
      <c r="AW604" s="79"/>
      <c r="AX604" s="79"/>
      <c r="AY604" s="79"/>
      <c r="AZ604" s="79"/>
      <c r="BA604" s="79"/>
      <c r="BB604" s="79"/>
      <c r="BC604" s="79"/>
      <c r="BD604" s="79"/>
      <c r="BE604" s="79"/>
      <c r="BF604" s="79"/>
      <c r="BG604" s="79"/>
      <c r="BH604" s="79"/>
      <c r="BI604" s="79"/>
      <c r="BJ604" s="79"/>
      <c r="BK604" s="79" t="s">
        <v>2696</v>
      </c>
      <c r="BL604" s="79" t="s">
        <v>2693</v>
      </c>
      <c r="BM604" s="79" t="s">
        <v>2698</v>
      </c>
      <c r="BN604" s="79" t="s">
        <v>2696</v>
      </c>
      <c r="BO604" s="79" t="s">
        <v>2697</v>
      </c>
      <c r="BP604" s="79" t="s">
        <v>2697</v>
      </c>
      <c r="BQ604" s="79" t="s">
        <v>2693</v>
      </c>
      <c r="BR604" s="79" t="s">
        <v>2693</v>
      </c>
      <c r="BS604" s="79" t="s">
        <v>2699</v>
      </c>
      <c r="BT604" s="79" t="s">
        <v>2696</v>
      </c>
      <c r="BU604" s="79">
        <v>1</v>
      </c>
      <c r="BV604" s="79" t="s">
        <v>2696</v>
      </c>
      <c r="BW604" s="79" t="s">
        <v>2693</v>
      </c>
      <c r="BX604" s="79" t="s">
        <v>2696</v>
      </c>
      <c r="BY604" s="79" t="s">
        <v>2699</v>
      </c>
      <c r="BZ604" s="79" t="s">
        <v>2699</v>
      </c>
      <c r="CA604" s="79" t="s">
        <v>2699</v>
      </c>
      <c r="CB604" s="79" t="s">
        <v>2699</v>
      </c>
      <c r="CC604" s="79" t="s">
        <v>2699</v>
      </c>
      <c r="CD604" s="79" t="s">
        <v>2696</v>
      </c>
      <c r="CE604" s="79"/>
      <c r="CF604" s="81" t="s">
        <v>3970</v>
      </c>
      <c r="CG604" s="81" t="s">
        <v>3971</v>
      </c>
      <c r="CH604" s="79" t="s">
        <v>2697</v>
      </c>
      <c r="CI604" s="79" t="s">
        <v>648</v>
      </c>
      <c r="CJ604" s="79" t="s">
        <v>2757</v>
      </c>
      <c r="CK604" s="145">
        <v>4</v>
      </c>
      <c r="CL604"/>
    </row>
    <row r="605" spans="1:90">
      <c r="A605" s="83" t="s">
        <v>3562</v>
      </c>
      <c r="B605" s="83" t="s">
        <v>3563</v>
      </c>
      <c r="D605" s="83" t="s">
        <v>673</v>
      </c>
      <c r="E605" s="83" t="s">
        <v>3843</v>
      </c>
      <c r="G605" s="83" t="s">
        <v>1873</v>
      </c>
      <c r="H605" s="83" t="s">
        <v>1201</v>
      </c>
      <c r="I605" s="83" t="s">
        <v>1202</v>
      </c>
      <c r="J605" s="83" t="s">
        <v>1203</v>
      </c>
      <c r="K605" s="83" t="s">
        <v>565</v>
      </c>
      <c r="L605" s="83" t="s">
        <v>398</v>
      </c>
      <c r="M605" s="83" t="s">
        <v>399</v>
      </c>
      <c r="N605" s="83" t="s">
        <v>1909</v>
      </c>
      <c r="O605" s="83" t="s">
        <v>106</v>
      </c>
      <c r="P605" s="83">
        <v>9</v>
      </c>
      <c r="Q605" s="83" t="s">
        <v>106</v>
      </c>
      <c r="R605" s="83">
        <v>10</v>
      </c>
      <c r="S605" s="87">
        <v>32873</v>
      </c>
      <c r="T605" s="83" t="s">
        <v>2703</v>
      </c>
      <c r="U605" s="83" t="s">
        <v>401</v>
      </c>
      <c r="AC605" s="83" t="s">
        <v>401</v>
      </c>
      <c r="AD605" s="83">
        <v>30000</v>
      </c>
      <c r="AF605" s="83">
        <v>35000</v>
      </c>
      <c r="AJ605" s="83">
        <v>1</v>
      </c>
      <c r="AK605" s="83">
        <v>1</v>
      </c>
      <c r="AL605" s="83">
        <v>1500</v>
      </c>
      <c r="AM605" s="83" t="s">
        <v>2693</v>
      </c>
      <c r="BK605" s="83">
        <v>0</v>
      </c>
      <c r="BL605" s="83">
        <v>2</v>
      </c>
      <c r="BM605" s="83">
        <v>5</v>
      </c>
      <c r="BN605" s="83">
        <v>5</v>
      </c>
      <c r="BO605" s="83">
        <v>2</v>
      </c>
      <c r="BP605" s="83">
        <v>3</v>
      </c>
      <c r="BQ605" s="83">
        <v>1</v>
      </c>
      <c r="BR605" s="83">
        <v>2</v>
      </c>
      <c r="BS605" s="83">
        <v>1</v>
      </c>
      <c r="BT605" s="83">
        <v>0</v>
      </c>
      <c r="BU605" s="83">
        <v>1</v>
      </c>
      <c r="BV605" s="79">
        <v>0</v>
      </c>
      <c r="BW605" s="83">
        <v>2</v>
      </c>
      <c r="BX605" s="83">
        <v>0</v>
      </c>
      <c r="BY605" s="83">
        <v>1</v>
      </c>
      <c r="BZ605" s="83">
        <v>0</v>
      </c>
      <c r="CA605" s="83">
        <v>1</v>
      </c>
      <c r="CB605" s="83">
        <v>9</v>
      </c>
      <c r="CC605" s="83">
        <v>2</v>
      </c>
      <c r="CD605" s="83">
        <v>0</v>
      </c>
      <c r="CF605" s="83" t="s">
        <v>3970</v>
      </c>
      <c r="CG605" s="83" t="s">
        <v>3971</v>
      </c>
      <c r="CH605" s="83" t="s">
        <v>2697</v>
      </c>
      <c r="CI605" s="83">
        <v>4</v>
      </c>
      <c r="CJ605" s="83" t="s">
        <v>2757</v>
      </c>
      <c r="CK605" s="144">
        <v>0</v>
      </c>
      <c r="CL605"/>
    </row>
    <row r="606" spans="1:90">
      <c r="A606" s="83" t="s">
        <v>3562</v>
      </c>
      <c r="B606" s="83" t="s">
        <v>3563</v>
      </c>
      <c r="D606" s="83" t="s">
        <v>673</v>
      </c>
      <c r="E606" s="83" t="s">
        <v>3843</v>
      </c>
      <c r="G606" s="83" t="s">
        <v>1873</v>
      </c>
      <c r="H606" s="83" t="s">
        <v>1201</v>
      </c>
      <c r="I606" s="83" t="s">
        <v>1202</v>
      </c>
      <c r="J606" s="83" t="s">
        <v>1203</v>
      </c>
      <c r="K606" s="83" t="s">
        <v>565</v>
      </c>
      <c r="L606" s="83" t="s">
        <v>398</v>
      </c>
      <c r="M606" s="83" t="s">
        <v>399</v>
      </c>
      <c r="N606" s="83" t="s">
        <v>1909</v>
      </c>
      <c r="O606" s="83" t="s">
        <v>106</v>
      </c>
      <c r="P606" s="83">
        <v>9</v>
      </c>
      <c r="Q606" s="83" t="s">
        <v>106</v>
      </c>
      <c r="R606" s="83">
        <v>10</v>
      </c>
      <c r="S606" s="87">
        <v>32873</v>
      </c>
      <c r="T606" s="83" t="s">
        <v>2703</v>
      </c>
      <c r="U606" s="83" t="s">
        <v>401</v>
      </c>
      <c r="AC606" s="83" t="s">
        <v>401</v>
      </c>
      <c r="AD606" s="83">
        <v>30000</v>
      </c>
      <c r="AF606" s="83">
        <v>35000</v>
      </c>
      <c r="AJ606" s="83">
        <v>1</v>
      </c>
      <c r="AK606" s="83">
        <v>1</v>
      </c>
      <c r="AL606" s="83">
        <v>1500</v>
      </c>
      <c r="AM606" s="83" t="s">
        <v>2693</v>
      </c>
      <c r="BK606" s="83">
        <v>0</v>
      </c>
      <c r="BL606" s="83">
        <v>2</v>
      </c>
      <c r="BM606" s="83">
        <v>5</v>
      </c>
      <c r="BN606" s="83">
        <v>5</v>
      </c>
      <c r="BO606" s="83">
        <v>2</v>
      </c>
      <c r="BP606" s="83">
        <v>3</v>
      </c>
      <c r="BQ606" s="83">
        <v>1</v>
      </c>
      <c r="BR606" s="83">
        <v>2</v>
      </c>
      <c r="BS606" s="83">
        <v>1</v>
      </c>
      <c r="BT606" s="83">
        <v>0</v>
      </c>
      <c r="BU606" s="83">
        <v>1</v>
      </c>
      <c r="BV606" s="79">
        <v>0</v>
      </c>
      <c r="BW606" s="83">
        <v>2</v>
      </c>
      <c r="BX606" s="83">
        <v>0</v>
      </c>
      <c r="BY606" s="83">
        <v>1</v>
      </c>
      <c r="BZ606" s="83">
        <v>0</v>
      </c>
      <c r="CA606" s="83">
        <v>1</v>
      </c>
      <c r="CB606" s="83">
        <v>9</v>
      </c>
      <c r="CC606" s="83">
        <v>2</v>
      </c>
      <c r="CD606" s="83">
        <v>0</v>
      </c>
      <c r="CF606" s="83" t="s">
        <v>3970</v>
      </c>
      <c r="CG606" s="83" t="s">
        <v>3971</v>
      </c>
      <c r="CH606" s="83" t="s">
        <v>2697</v>
      </c>
      <c r="CI606" s="83">
        <v>4</v>
      </c>
      <c r="CJ606" s="83" t="s">
        <v>2757</v>
      </c>
      <c r="CK606" s="144">
        <v>0</v>
      </c>
      <c r="CL606"/>
    </row>
    <row r="607" spans="1:90">
      <c r="A607" s="83" t="s">
        <v>3562</v>
      </c>
      <c r="B607" s="83" t="s">
        <v>3563</v>
      </c>
      <c r="D607" s="83" t="s">
        <v>714</v>
      </c>
      <c r="E607" s="83" t="s">
        <v>3844</v>
      </c>
      <c r="G607" s="83" t="s">
        <v>1873</v>
      </c>
      <c r="H607" s="83" t="s">
        <v>1201</v>
      </c>
      <c r="I607" s="83" t="s">
        <v>1202</v>
      </c>
      <c r="J607" s="83" t="s">
        <v>1203</v>
      </c>
      <c r="K607" s="83" t="s">
        <v>565</v>
      </c>
      <c r="L607" s="83" t="s">
        <v>398</v>
      </c>
      <c r="M607" s="83" t="s">
        <v>399</v>
      </c>
      <c r="N607" s="83" t="s">
        <v>1909</v>
      </c>
      <c r="O607" s="83" t="s">
        <v>106</v>
      </c>
      <c r="P607" s="83">
        <v>8</v>
      </c>
      <c r="Q607" s="83" t="s">
        <v>106</v>
      </c>
      <c r="R607" s="83">
        <v>10</v>
      </c>
      <c r="S607" s="87">
        <v>32873</v>
      </c>
      <c r="T607" s="83" t="s">
        <v>2703</v>
      </c>
      <c r="U607" s="83" t="s">
        <v>401</v>
      </c>
      <c r="AC607" s="83" t="s">
        <v>401</v>
      </c>
      <c r="AD607" s="83">
        <v>15000</v>
      </c>
      <c r="AF607" s="83">
        <v>6000</v>
      </c>
      <c r="AJ607" s="83">
        <v>1</v>
      </c>
      <c r="AK607" s="83">
        <v>1</v>
      </c>
      <c r="AL607" s="83">
        <v>300</v>
      </c>
      <c r="AM607" s="83" t="s">
        <v>2693</v>
      </c>
      <c r="BK607" s="83">
        <v>9</v>
      </c>
      <c r="BL607" s="83">
        <v>3</v>
      </c>
      <c r="BM607" s="83">
        <v>3</v>
      </c>
      <c r="BN607" s="83">
        <v>5</v>
      </c>
      <c r="BO607" s="83">
        <v>2</v>
      </c>
      <c r="BP607" s="83">
        <v>3</v>
      </c>
      <c r="BQ607" s="83">
        <v>1</v>
      </c>
      <c r="BR607" s="83">
        <v>2</v>
      </c>
      <c r="BS607" s="83">
        <v>1</v>
      </c>
      <c r="BT607" s="83">
        <v>0</v>
      </c>
      <c r="BU607" s="83">
        <v>1</v>
      </c>
      <c r="BV607" s="79">
        <v>0</v>
      </c>
      <c r="BW607" s="83">
        <v>5</v>
      </c>
      <c r="BX607" s="83">
        <v>0</v>
      </c>
      <c r="BY607" s="83">
        <v>1</v>
      </c>
      <c r="BZ607" s="83">
        <v>0</v>
      </c>
      <c r="CA607" s="83">
        <v>1</v>
      </c>
      <c r="CB607" s="83">
        <v>9</v>
      </c>
      <c r="CC607" s="83">
        <v>2</v>
      </c>
      <c r="CD607" s="83">
        <v>0</v>
      </c>
      <c r="CF607" s="83" t="s">
        <v>3970</v>
      </c>
      <c r="CG607" s="83" t="s">
        <v>3971</v>
      </c>
      <c r="CH607" s="83" t="s">
        <v>2695</v>
      </c>
      <c r="CI607" s="83" t="s">
        <v>648</v>
      </c>
      <c r="CJ607" s="83" t="s">
        <v>2726</v>
      </c>
      <c r="CK607" s="144">
        <v>0</v>
      </c>
      <c r="CL607"/>
    </row>
    <row r="608" spans="1:90">
      <c r="A608" s="83" t="s">
        <v>3562</v>
      </c>
      <c r="B608" s="83" t="s">
        <v>3563</v>
      </c>
      <c r="D608" s="83" t="s">
        <v>714</v>
      </c>
      <c r="E608" s="83" t="s">
        <v>3844</v>
      </c>
      <c r="G608" s="83" t="s">
        <v>1873</v>
      </c>
      <c r="H608" s="83" t="s">
        <v>1201</v>
      </c>
      <c r="I608" s="83" t="s">
        <v>1202</v>
      </c>
      <c r="J608" s="83" t="s">
        <v>1203</v>
      </c>
      <c r="K608" s="83" t="s">
        <v>565</v>
      </c>
      <c r="L608" s="83" t="s">
        <v>398</v>
      </c>
      <c r="M608" s="83" t="s">
        <v>399</v>
      </c>
      <c r="N608" s="83" t="s">
        <v>1909</v>
      </c>
      <c r="O608" s="83" t="s">
        <v>106</v>
      </c>
      <c r="P608" s="83">
        <v>8</v>
      </c>
      <c r="Q608" s="83" t="s">
        <v>106</v>
      </c>
      <c r="R608" s="83">
        <v>10</v>
      </c>
      <c r="S608" s="87">
        <v>32873</v>
      </c>
      <c r="T608" s="83" t="s">
        <v>2703</v>
      </c>
      <c r="U608" s="83" t="s">
        <v>401</v>
      </c>
      <c r="AC608" s="83" t="s">
        <v>401</v>
      </c>
      <c r="AD608" s="83">
        <v>15000</v>
      </c>
      <c r="AF608" s="83">
        <v>6000</v>
      </c>
      <c r="AJ608" s="83">
        <v>1</v>
      </c>
      <c r="AK608" s="83">
        <v>1</v>
      </c>
      <c r="AL608" s="83">
        <v>300</v>
      </c>
      <c r="AM608" s="83" t="s">
        <v>2693</v>
      </c>
      <c r="BK608" s="83">
        <v>9</v>
      </c>
      <c r="BL608" s="83">
        <v>3</v>
      </c>
      <c r="BM608" s="83">
        <v>3</v>
      </c>
      <c r="BN608" s="83">
        <v>5</v>
      </c>
      <c r="BO608" s="83">
        <v>2</v>
      </c>
      <c r="BP608" s="83">
        <v>3</v>
      </c>
      <c r="BQ608" s="83">
        <v>1</v>
      </c>
      <c r="BR608" s="83">
        <v>2</v>
      </c>
      <c r="BS608" s="83">
        <v>1</v>
      </c>
      <c r="BT608" s="83">
        <v>0</v>
      </c>
      <c r="BU608" s="83">
        <v>1</v>
      </c>
      <c r="BV608" s="79">
        <v>0</v>
      </c>
      <c r="BW608" s="83">
        <v>5</v>
      </c>
      <c r="BX608" s="83">
        <v>0</v>
      </c>
      <c r="BY608" s="83">
        <v>1</v>
      </c>
      <c r="BZ608" s="83">
        <v>0</v>
      </c>
      <c r="CA608" s="83">
        <v>1</v>
      </c>
      <c r="CB608" s="83">
        <v>9</v>
      </c>
      <c r="CC608" s="83">
        <v>2</v>
      </c>
      <c r="CD608" s="83">
        <v>0</v>
      </c>
      <c r="CF608" s="83" t="s">
        <v>3970</v>
      </c>
      <c r="CG608" s="83" t="s">
        <v>3971</v>
      </c>
      <c r="CH608" s="83" t="s">
        <v>2695</v>
      </c>
      <c r="CI608" s="83" t="s">
        <v>648</v>
      </c>
      <c r="CJ608" s="83" t="s">
        <v>2726</v>
      </c>
      <c r="CK608" s="144">
        <v>0</v>
      </c>
      <c r="CL608"/>
    </row>
    <row r="609" spans="1:90">
      <c r="A609" s="83" t="s">
        <v>3562</v>
      </c>
      <c r="B609" s="83" t="s">
        <v>3563</v>
      </c>
      <c r="D609" s="83" t="s">
        <v>716</v>
      </c>
      <c r="E609" s="83" t="s">
        <v>3845</v>
      </c>
      <c r="G609" s="83" t="s">
        <v>1873</v>
      </c>
      <c r="H609" s="83" t="s">
        <v>1201</v>
      </c>
      <c r="I609" s="83" t="s">
        <v>1202</v>
      </c>
      <c r="J609" s="83" t="s">
        <v>1203</v>
      </c>
      <c r="K609" s="83" t="s">
        <v>565</v>
      </c>
      <c r="L609" s="83" t="s">
        <v>398</v>
      </c>
      <c r="M609" s="83" t="s">
        <v>399</v>
      </c>
      <c r="N609" s="83" t="s">
        <v>1909</v>
      </c>
      <c r="O609" s="83" t="s">
        <v>106</v>
      </c>
      <c r="P609" s="83">
        <v>9</v>
      </c>
      <c r="Q609" s="83" t="s">
        <v>106</v>
      </c>
      <c r="R609" s="83">
        <v>10</v>
      </c>
      <c r="S609" s="87">
        <v>32873</v>
      </c>
      <c r="T609" s="83" t="s">
        <v>2703</v>
      </c>
      <c r="U609" s="83" t="s">
        <v>401</v>
      </c>
      <c r="AC609" s="83" t="s">
        <v>401</v>
      </c>
      <c r="AD609" s="83">
        <v>28000</v>
      </c>
      <c r="AF609" s="83">
        <v>21000</v>
      </c>
      <c r="AJ609" s="83">
        <v>1</v>
      </c>
      <c r="AK609" s="83">
        <v>1</v>
      </c>
      <c r="AL609" s="83">
        <v>1500</v>
      </c>
      <c r="AM609" s="83" t="s">
        <v>2693</v>
      </c>
      <c r="BK609" s="83">
        <v>0</v>
      </c>
      <c r="BL609" s="83">
        <v>2</v>
      </c>
      <c r="BM609" s="83">
        <v>4</v>
      </c>
      <c r="BN609" s="83">
        <v>5</v>
      </c>
      <c r="BO609" s="83">
        <v>2</v>
      </c>
      <c r="BP609" s="83">
        <v>3</v>
      </c>
      <c r="BQ609" s="83">
        <v>1</v>
      </c>
      <c r="BR609" s="83">
        <v>2</v>
      </c>
      <c r="BS609" s="83">
        <v>1</v>
      </c>
      <c r="BT609" s="83">
        <v>0</v>
      </c>
      <c r="BU609" s="83">
        <v>1</v>
      </c>
      <c r="BV609" s="79">
        <v>0</v>
      </c>
      <c r="BW609" s="83">
        <v>2</v>
      </c>
      <c r="BX609" s="83">
        <v>0</v>
      </c>
      <c r="BY609" s="83">
        <v>1</v>
      </c>
      <c r="BZ609" s="83">
        <v>0</v>
      </c>
      <c r="CA609" s="83">
        <v>1</v>
      </c>
      <c r="CB609" s="83">
        <v>9</v>
      </c>
      <c r="CC609" s="83">
        <v>2</v>
      </c>
      <c r="CD609" s="83">
        <v>0</v>
      </c>
      <c r="CF609" s="83" t="s">
        <v>3970</v>
      </c>
      <c r="CG609" s="83" t="s">
        <v>3971</v>
      </c>
      <c r="CH609" s="83" t="s">
        <v>2697</v>
      </c>
      <c r="CI609" s="83">
        <v>4</v>
      </c>
      <c r="CJ609" s="83" t="s">
        <v>2757</v>
      </c>
      <c r="CK609" s="144">
        <v>0</v>
      </c>
      <c r="CL609"/>
    </row>
    <row r="610" spans="1:90">
      <c r="A610" s="83" t="s">
        <v>3562</v>
      </c>
      <c r="B610" s="83" t="s">
        <v>3563</v>
      </c>
      <c r="D610" s="83" t="s">
        <v>716</v>
      </c>
      <c r="E610" s="83" t="s">
        <v>3845</v>
      </c>
      <c r="G610" s="83" t="s">
        <v>1873</v>
      </c>
      <c r="H610" s="83" t="s">
        <v>1201</v>
      </c>
      <c r="I610" s="83" t="s">
        <v>1202</v>
      </c>
      <c r="J610" s="83" t="s">
        <v>1203</v>
      </c>
      <c r="K610" s="83" t="s">
        <v>565</v>
      </c>
      <c r="L610" s="83" t="s">
        <v>398</v>
      </c>
      <c r="M610" s="83" t="s">
        <v>399</v>
      </c>
      <c r="N610" s="83" t="s">
        <v>1909</v>
      </c>
      <c r="O610" s="83" t="s">
        <v>106</v>
      </c>
      <c r="P610" s="83">
        <v>9</v>
      </c>
      <c r="Q610" s="83" t="s">
        <v>106</v>
      </c>
      <c r="R610" s="83">
        <v>10</v>
      </c>
      <c r="S610" s="87">
        <v>32873</v>
      </c>
      <c r="T610" s="83" t="s">
        <v>2703</v>
      </c>
      <c r="U610" s="83" t="s">
        <v>401</v>
      </c>
      <c r="AC610" s="83" t="s">
        <v>401</v>
      </c>
      <c r="AD610" s="83">
        <v>30000</v>
      </c>
      <c r="AF610" s="83">
        <v>21000</v>
      </c>
      <c r="AJ610" s="83">
        <v>1</v>
      </c>
      <c r="AK610" s="83">
        <v>1</v>
      </c>
      <c r="AL610" s="83">
        <v>1500</v>
      </c>
      <c r="AM610" s="83" t="s">
        <v>2693</v>
      </c>
      <c r="BK610" s="83">
        <v>0</v>
      </c>
      <c r="BL610" s="83">
        <v>2</v>
      </c>
      <c r="BM610" s="83">
        <v>4</v>
      </c>
      <c r="BN610" s="83">
        <v>5</v>
      </c>
      <c r="BO610" s="83">
        <v>2</v>
      </c>
      <c r="BP610" s="83">
        <v>3</v>
      </c>
      <c r="BQ610" s="83">
        <v>1</v>
      </c>
      <c r="BR610" s="83">
        <v>2</v>
      </c>
      <c r="BS610" s="83">
        <v>1</v>
      </c>
      <c r="BT610" s="83">
        <v>0</v>
      </c>
      <c r="BU610" s="83">
        <v>1</v>
      </c>
      <c r="BV610" s="79">
        <v>0</v>
      </c>
      <c r="BW610" s="83">
        <v>2</v>
      </c>
      <c r="BX610" s="83">
        <v>0</v>
      </c>
      <c r="BY610" s="83">
        <v>1</v>
      </c>
      <c r="BZ610" s="83">
        <v>0</v>
      </c>
      <c r="CA610" s="83">
        <v>1</v>
      </c>
      <c r="CB610" s="83">
        <v>9</v>
      </c>
      <c r="CC610" s="83">
        <v>2</v>
      </c>
      <c r="CD610" s="83">
        <v>0</v>
      </c>
      <c r="CF610" s="83" t="s">
        <v>3970</v>
      </c>
      <c r="CG610" s="83" t="s">
        <v>3971</v>
      </c>
      <c r="CH610" s="83" t="s">
        <v>2697</v>
      </c>
      <c r="CI610" s="83">
        <v>4</v>
      </c>
      <c r="CJ610" s="83" t="s">
        <v>2757</v>
      </c>
      <c r="CK610" s="144">
        <v>0</v>
      </c>
      <c r="CL610"/>
    </row>
    <row r="611" spans="1:90">
      <c r="A611" s="83" t="s">
        <v>3562</v>
      </c>
      <c r="B611" s="83" t="s">
        <v>3563</v>
      </c>
      <c r="D611" s="83" t="s">
        <v>717</v>
      </c>
      <c r="E611" s="83" t="s">
        <v>3846</v>
      </c>
      <c r="F611" s="83">
        <v>10151</v>
      </c>
      <c r="G611" s="83" t="s">
        <v>3872</v>
      </c>
      <c r="H611" s="83" t="s">
        <v>1201</v>
      </c>
      <c r="I611" s="83" t="s">
        <v>1202</v>
      </c>
      <c r="J611" s="83" t="s">
        <v>1203</v>
      </c>
      <c r="K611" s="83" t="s">
        <v>565</v>
      </c>
      <c r="L611" s="83" t="s">
        <v>398</v>
      </c>
      <c r="M611" s="83" t="s">
        <v>399</v>
      </c>
      <c r="N611" s="83" t="s">
        <v>1909</v>
      </c>
      <c r="O611" s="83" t="s">
        <v>106</v>
      </c>
      <c r="P611" s="83">
        <v>4</v>
      </c>
      <c r="Q611" s="83" t="s">
        <v>106</v>
      </c>
      <c r="R611" s="83">
        <v>10</v>
      </c>
      <c r="S611" s="87">
        <v>32873</v>
      </c>
      <c r="T611" s="83" t="s">
        <v>2703</v>
      </c>
      <c r="U611" s="83" t="s">
        <v>401</v>
      </c>
      <c r="AC611" s="83" t="s">
        <v>401</v>
      </c>
      <c r="AD611" s="83">
        <v>32000</v>
      </c>
      <c r="AF611" s="83">
        <v>18000</v>
      </c>
      <c r="AJ611" s="83">
        <v>1</v>
      </c>
      <c r="AK611" s="83">
        <v>1</v>
      </c>
      <c r="AL611" s="83">
        <v>1260</v>
      </c>
      <c r="AM611" s="83" t="s">
        <v>2693</v>
      </c>
      <c r="BK611" s="83">
        <v>9</v>
      </c>
      <c r="BL611" s="83">
        <v>3</v>
      </c>
      <c r="BM611" s="83">
        <v>3</v>
      </c>
      <c r="BN611" s="83">
        <v>5</v>
      </c>
      <c r="BO611" s="83">
        <v>2</v>
      </c>
      <c r="BP611" s="83">
        <v>5</v>
      </c>
      <c r="BQ611" s="83">
        <v>1</v>
      </c>
      <c r="BR611" s="83">
        <v>2</v>
      </c>
      <c r="BS611" s="83">
        <v>1</v>
      </c>
      <c r="BT611" s="83">
        <v>0</v>
      </c>
      <c r="BU611" s="83">
        <v>1</v>
      </c>
      <c r="BV611" s="79">
        <v>0</v>
      </c>
      <c r="BW611" s="83">
        <v>5</v>
      </c>
      <c r="BX611" s="83">
        <v>0</v>
      </c>
      <c r="BY611" s="83">
        <v>1</v>
      </c>
      <c r="BZ611" s="83">
        <v>0</v>
      </c>
      <c r="CA611" s="83">
        <v>1</v>
      </c>
      <c r="CB611" s="83">
        <v>9</v>
      </c>
      <c r="CC611" s="83">
        <v>2</v>
      </c>
      <c r="CD611" s="83">
        <v>0</v>
      </c>
      <c r="CF611" s="83" t="s">
        <v>2464</v>
      </c>
      <c r="CG611" s="83" t="s">
        <v>2465</v>
      </c>
      <c r="CH611" s="83" t="s">
        <v>2693</v>
      </c>
      <c r="CI611" s="83" t="s">
        <v>3992</v>
      </c>
      <c r="CJ611" s="83" t="s">
        <v>2701</v>
      </c>
      <c r="CL611"/>
    </row>
    <row r="612" spans="1:90">
      <c r="A612" s="83" t="s">
        <v>3562</v>
      </c>
      <c r="B612" s="83" t="s">
        <v>3563</v>
      </c>
      <c r="D612" s="83" t="s">
        <v>717</v>
      </c>
      <c r="E612" s="83" t="s">
        <v>3846</v>
      </c>
      <c r="F612" s="83">
        <v>10151</v>
      </c>
      <c r="G612" s="83" t="s">
        <v>3872</v>
      </c>
      <c r="H612" s="83" t="s">
        <v>1201</v>
      </c>
      <c r="I612" s="83" t="s">
        <v>1202</v>
      </c>
      <c r="J612" s="83" t="s">
        <v>1203</v>
      </c>
      <c r="K612" s="83" t="s">
        <v>565</v>
      </c>
      <c r="L612" s="83" t="s">
        <v>398</v>
      </c>
      <c r="M612" s="83" t="s">
        <v>399</v>
      </c>
      <c r="N612" s="83" t="s">
        <v>1909</v>
      </c>
      <c r="O612" s="83" t="s">
        <v>106</v>
      </c>
      <c r="P612" s="83">
        <v>4</v>
      </c>
      <c r="Q612" s="83" t="s">
        <v>106</v>
      </c>
      <c r="R612" s="83">
        <v>10</v>
      </c>
      <c r="S612" s="87">
        <v>32873</v>
      </c>
      <c r="T612" s="83" t="s">
        <v>2703</v>
      </c>
      <c r="U612" s="83" t="s">
        <v>401</v>
      </c>
      <c r="AC612" s="83" t="s">
        <v>401</v>
      </c>
      <c r="AD612" s="83">
        <v>32000</v>
      </c>
      <c r="AF612" s="83">
        <v>18000</v>
      </c>
      <c r="AJ612" s="83">
        <v>1</v>
      </c>
      <c r="AK612" s="83">
        <v>1</v>
      </c>
      <c r="AL612" s="83">
        <v>1260</v>
      </c>
      <c r="AM612" s="83" t="s">
        <v>2693</v>
      </c>
      <c r="BK612" s="83">
        <v>9</v>
      </c>
      <c r="BL612" s="83">
        <v>3</v>
      </c>
      <c r="BM612" s="83">
        <v>3</v>
      </c>
      <c r="BN612" s="83">
        <v>5</v>
      </c>
      <c r="BO612" s="83">
        <v>2</v>
      </c>
      <c r="BP612" s="83">
        <v>5</v>
      </c>
      <c r="BQ612" s="83">
        <v>1</v>
      </c>
      <c r="BR612" s="83">
        <v>2</v>
      </c>
      <c r="BS612" s="83">
        <v>1</v>
      </c>
      <c r="BT612" s="83">
        <v>0</v>
      </c>
      <c r="BU612" s="83">
        <v>1</v>
      </c>
      <c r="BV612" s="79">
        <v>0</v>
      </c>
      <c r="BW612" s="83">
        <v>5</v>
      </c>
      <c r="BX612" s="83">
        <v>0</v>
      </c>
      <c r="BY612" s="83">
        <v>1</v>
      </c>
      <c r="BZ612" s="83">
        <v>0</v>
      </c>
      <c r="CA612" s="83">
        <v>1</v>
      </c>
      <c r="CB612" s="83">
        <v>9</v>
      </c>
      <c r="CC612" s="83">
        <v>2</v>
      </c>
      <c r="CD612" s="83">
        <v>0</v>
      </c>
      <c r="CF612" s="83" t="s">
        <v>2464</v>
      </c>
      <c r="CG612" s="83" t="s">
        <v>2465</v>
      </c>
      <c r="CH612" s="83" t="s">
        <v>2693</v>
      </c>
      <c r="CI612" s="83" t="s">
        <v>3992</v>
      </c>
      <c r="CJ612" s="83" t="s">
        <v>2701</v>
      </c>
      <c r="CL612"/>
    </row>
    <row r="613" spans="1:90">
      <c r="A613" s="83" t="s">
        <v>3105</v>
      </c>
      <c r="B613" s="83" t="s">
        <v>2593</v>
      </c>
      <c r="D613" s="83" t="s">
        <v>688</v>
      </c>
      <c r="E613" s="83" t="s">
        <v>2594</v>
      </c>
      <c r="F613" s="83" t="s">
        <v>3106</v>
      </c>
      <c r="G613" s="83" t="s">
        <v>2300</v>
      </c>
      <c r="H613" s="83" t="s">
        <v>1201</v>
      </c>
      <c r="I613" s="83" t="s">
        <v>1202</v>
      </c>
      <c r="J613" s="83" t="s">
        <v>1203</v>
      </c>
      <c r="K613" s="83" t="s">
        <v>565</v>
      </c>
      <c r="L613" s="83" t="s">
        <v>398</v>
      </c>
      <c r="M613" s="83" t="s">
        <v>399</v>
      </c>
      <c r="N613" s="83" t="s">
        <v>1909</v>
      </c>
      <c r="O613" s="83" t="s">
        <v>106</v>
      </c>
      <c r="P613" s="83">
        <v>5</v>
      </c>
      <c r="Q613" s="83" t="s">
        <v>106</v>
      </c>
      <c r="R613" s="83" t="s">
        <v>2694</v>
      </c>
      <c r="S613" s="83" t="s">
        <v>1456</v>
      </c>
      <c r="T613" s="83" t="s">
        <v>2843</v>
      </c>
      <c r="U613" s="83" t="s">
        <v>401</v>
      </c>
      <c r="AC613" s="83" t="s">
        <v>401</v>
      </c>
      <c r="AD613" s="83">
        <v>6386000</v>
      </c>
      <c r="AF613" s="83">
        <v>0</v>
      </c>
      <c r="AJ613" s="83">
        <v>1</v>
      </c>
      <c r="AK613" s="83">
        <v>1</v>
      </c>
      <c r="AL613" s="83">
        <v>43149</v>
      </c>
      <c r="AM613" s="83" t="s">
        <v>2693</v>
      </c>
      <c r="BK613" s="83" t="s">
        <v>2694</v>
      </c>
      <c r="BL613" s="83" t="s">
        <v>2697</v>
      </c>
      <c r="BM613" s="83" t="s">
        <v>2699</v>
      </c>
      <c r="BN613" s="83" t="s">
        <v>2698</v>
      </c>
      <c r="BO613" s="83" t="s">
        <v>2697</v>
      </c>
      <c r="BP613" s="83" t="s">
        <v>2699</v>
      </c>
      <c r="BQ613" s="83" t="s">
        <v>2699</v>
      </c>
      <c r="BR613" s="83" t="s">
        <v>2699</v>
      </c>
      <c r="BS613" s="83" t="s">
        <v>2699</v>
      </c>
      <c r="BT613" s="83" t="s">
        <v>2696</v>
      </c>
      <c r="BU613" s="83" t="s">
        <v>2699</v>
      </c>
      <c r="BV613" s="83" t="s">
        <v>2696</v>
      </c>
      <c r="BW613" s="83" t="s">
        <v>2698</v>
      </c>
      <c r="BX613" s="83" t="s">
        <v>2696</v>
      </c>
      <c r="BY613" s="83" t="s">
        <v>2699</v>
      </c>
      <c r="BZ613" s="83" t="s">
        <v>2693</v>
      </c>
      <c r="CA613" s="83" t="s">
        <v>2693</v>
      </c>
      <c r="CB613" s="83" t="s">
        <v>2694</v>
      </c>
      <c r="CC613" s="83" t="s">
        <v>2699</v>
      </c>
      <c r="CD613" s="83" t="s">
        <v>2696</v>
      </c>
      <c r="CF613" s="83" t="s">
        <v>3107</v>
      </c>
      <c r="CG613" s="83" t="s">
        <v>3108</v>
      </c>
      <c r="CH613" s="83" t="s">
        <v>2725</v>
      </c>
      <c r="CI613" s="83" t="s">
        <v>1358</v>
      </c>
      <c r="CJ613" s="83" t="s">
        <v>2726</v>
      </c>
      <c r="CK613" s="144">
        <v>0</v>
      </c>
      <c r="CL613"/>
    </row>
    <row r="614" spans="1:90">
      <c r="A614" s="83" t="s">
        <v>3105</v>
      </c>
      <c r="B614" s="83" t="s">
        <v>2593</v>
      </c>
      <c r="D614" s="83" t="s">
        <v>673</v>
      </c>
      <c r="E614" s="83" t="s">
        <v>2423</v>
      </c>
      <c r="F614" s="83" t="s">
        <v>3106</v>
      </c>
      <c r="G614" s="83" t="s">
        <v>2300</v>
      </c>
      <c r="H614" s="83" t="s">
        <v>1201</v>
      </c>
      <c r="I614" s="83" t="s">
        <v>1202</v>
      </c>
      <c r="J614" s="83" t="s">
        <v>1203</v>
      </c>
      <c r="K614" s="83" t="s">
        <v>565</v>
      </c>
      <c r="L614" s="83" t="s">
        <v>398</v>
      </c>
      <c r="M614" s="83" t="s">
        <v>399</v>
      </c>
      <c r="N614" s="83" t="s">
        <v>1909</v>
      </c>
      <c r="O614" s="83" t="s">
        <v>106</v>
      </c>
      <c r="P614" s="83">
        <v>5</v>
      </c>
      <c r="Q614" s="83" t="s">
        <v>106</v>
      </c>
      <c r="R614" s="83" t="s">
        <v>2727</v>
      </c>
      <c r="S614" s="83" t="s">
        <v>2741</v>
      </c>
      <c r="T614" s="83" t="s">
        <v>2843</v>
      </c>
      <c r="U614" s="83" t="s">
        <v>401</v>
      </c>
      <c r="AC614" s="83" t="s">
        <v>401</v>
      </c>
      <c r="AD614" s="83">
        <v>135000</v>
      </c>
      <c r="AF614" s="83">
        <v>0</v>
      </c>
      <c r="AJ614" s="83">
        <v>1</v>
      </c>
      <c r="AK614" s="83">
        <v>1</v>
      </c>
      <c r="AL614" s="83">
        <v>2184</v>
      </c>
      <c r="AM614" s="83" t="s">
        <v>2693</v>
      </c>
      <c r="BK614" s="83" t="s">
        <v>2694</v>
      </c>
      <c r="BL614" s="83" t="s">
        <v>2697</v>
      </c>
      <c r="BM614" s="83" t="s">
        <v>2699</v>
      </c>
      <c r="BN614" s="83" t="s">
        <v>2698</v>
      </c>
      <c r="BO614" s="83" t="s">
        <v>2697</v>
      </c>
      <c r="BP614" s="83" t="s">
        <v>2699</v>
      </c>
      <c r="BQ614" s="83" t="s">
        <v>2699</v>
      </c>
      <c r="BR614" s="83" t="s">
        <v>2699</v>
      </c>
      <c r="BS614" s="83" t="s">
        <v>2699</v>
      </c>
      <c r="BT614" s="83" t="s">
        <v>2696</v>
      </c>
      <c r="BU614" s="83" t="s">
        <v>2699</v>
      </c>
      <c r="BV614" s="83" t="s">
        <v>2696</v>
      </c>
      <c r="BW614" s="83" t="s">
        <v>2698</v>
      </c>
      <c r="BX614" s="83" t="s">
        <v>2696</v>
      </c>
      <c r="BY614" s="83" t="s">
        <v>2699</v>
      </c>
      <c r="BZ614" s="83" t="s">
        <v>2693</v>
      </c>
      <c r="CA614" s="83" t="s">
        <v>2693</v>
      </c>
      <c r="CB614" s="83" t="s">
        <v>2694</v>
      </c>
      <c r="CC614" s="83" t="s">
        <v>2699</v>
      </c>
      <c r="CD614" s="83" t="s">
        <v>2696</v>
      </c>
      <c r="CF614" s="83" t="s">
        <v>3109</v>
      </c>
      <c r="CG614" s="83" t="s">
        <v>3110</v>
      </c>
      <c r="CH614" s="83" t="s">
        <v>2725</v>
      </c>
      <c r="CI614" s="83" t="s">
        <v>1358</v>
      </c>
      <c r="CJ614" s="83" t="s">
        <v>2726</v>
      </c>
      <c r="CK614" s="144">
        <v>0</v>
      </c>
      <c r="CL614"/>
    </row>
    <row r="615" spans="1:90">
      <c r="A615" s="83" t="s">
        <v>3111</v>
      </c>
      <c r="B615" s="83" t="s">
        <v>2595</v>
      </c>
      <c r="D615" s="83" t="s">
        <v>688</v>
      </c>
      <c r="E615" s="83" t="s">
        <v>3112</v>
      </c>
      <c r="F615" s="83" t="s">
        <v>3113</v>
      </c>
      <c r="G615" s="83" t="s">
        <v>2301</v>
      </c>
      <c r="H615" s="83" t="s">
        <v>1201</v>
      </c>
      <c r="I615" s="83" t="s">
        <v>1202</v>
      </c>
      <c r="J615" s="83" t="s">
        <v>1203</v>
      </c>
      <c r="K615" s="83" t="s">
        <v>565</v>
      </c>
      <c r="L615" s="83" t="s">
        <v>398</v>
      </c>
      <c r="M615" s="83" t="s">
        <v>399</v>
      </c>
      <c r="N615" s="83" t="s">
        <v>1909</v>
      </c>
      <c r="O615" s="83" t="s">
        <v>106</v>
      </c>
      <c r="P615" s="83">
        <v>8</v>
      </c>
      <c r="Q615" s="83" t="s">
        <v>106</v>
      </c>
      <c r="R615" s="83" t="s">
        <v>2727</v>
      </c>
      <c r="S615" s="83" t="s">
        <v>2741</v>
      </c>
      <c r="T615" s="83" t="s">
        <v>2843</v>
      </c>
      <c r="U615" s="83" t="s">
        <v>401</v>
      </c>
      <c r="AC615" s="83" t="s">
        <v>401</v>
      </c>
      <c r="AD615" s="83">
        <v>3959000</v>
      </c>
      <c r="AF615" s="83">
        <v>0</v>
      </c>
      <c r="AJ615" s="83">
        <v>1</v>
      </c>
      <c r="AK615" s="83">
        <v>1</v>
      </c>
      <c r="AL615" s="83">
        <v>35426</v>
      </c>
      <c r="AM615" s="83" t="s">
        <v>2693</v>
      </c>
      <c r="BK615" s="83" t="s">
        <v>2694</v>
      </c>
      <c r="BL615" s="83" t="s">
        <v>2697</v>
      </c>
      <c r="BM615" s="83" t="s">
        <v>2699</v>
      </c>
      <c r="BN615" s="83" t="s">
        <v>2698</v>
      </c>
      <c r="BO615" s="83" t="s">
        <v>2697</v>
      </c>
      <c r="BP615" s="83" t="s">
        <v>2697</v>
      </c>
      <c r="BQ615" s="83" t="s">
        <v>2699</v>
      </c>
      <c r="BR615" s="83" t="s">
        <v>2699</v>
      </c>
      <c r="BS615" s="83" t="s">
        <v>2699</v>
      </c>
      <c r="BT615" s="83" t="s">
        <v>2696</v>
      </c>
      <c r="BU615" s="83" t="s">
        <v>2699</v>
      </c>
      <c r="BV615" s="83" t="s">
        <v>2696</v>
      </c>
      <c r="BW615" s="83" t="s">
        <v>2698</v>
      </c>
      <c r="BX615" s="83" t="s">
        <v>2696</v>
      </c>
      <c r="BY615" s="83" t="s">
        <v>2699</v>
      </c>
      <c r="BZ615" s="83" t="s">
        <v>2693</v>
      </c>
      <c r="CA615" s="83" t="s">
        <v>2693</v>
      </c>
      <c r="CB615" s="83" t="s">
        <v>2694</v>
      </c>
      <c r="CC615" s="83" t="s">
        <v>2699</v>
      </c>
      <c r="CD615" s="83" t="s">
        <v>2699</v>
      </c>
      <c r="CF615" s="83" t="s">
        <v>3114</v>
      </c>
      <c r="CG615" s="83" t="s">
        <v>3115</v>
      </c>
      <c r="CH615" s="83" t="s">
        <v>2695</v>
      </c>
      <c r="CI615" s="83" t="s">
        <v>648</v>
      </c>
      <c r="CJ615" s="83" t="s">
        <v>2726</v>
      </c>
      <c r="CK615" s="144">
        <v>0</v>
      </c>
      <c r="CL615"/>
    </row>
    <row r="616" spans="1:90">
      <c r="A616" s="83" t="s">
        <v>3119</v>
      </c>
      <c r="B616" s="83" t="s">
        <v>2596</v>
      </c>
      <c r="D616" s="83" t="s">
        <v>688</v>
      </c>
      <c r="E616" s="83" t="s">
        <v>2597</v>
      </c>
      <c r="F616" s="83" t="s">
        <v>3120</v>
      </c>
      <c r="G616" s="83" t="s">
        <v>2300</v>
      </c>
      <c r="H616" s="83" t="s">
        <v>1201</v>
      </c>
      <c r="I616" s="83" t="s">
        <v>1202</v>
      </c>
      <c r="J616" s="83" t="s">
        <v>1203</v>
      </c>
      <c r="K616" s="83" t="s">
        <v>565</v>
      </c>
      <c r="L616" s="83" t="s">
        <v>398</v>
      </c>
      <c r="M616" s="83" t="s">
        <v>399</v>
      </c>
      <c r="N616" s="83" t="s">
        <v>1909</v>
      </c>
      <c r="O616" s="83" t="s">
        <v>106</v>
      </c>
      <c r="P616" s="83">
        <v>8</v>
      </c>
      <c r="Q616" s="83" t="s">
        <v>106</v>
      </c>
      <c r="R616" s="83" t="s">
        <v>3121</v>
      </c>
      <c r="S616" s="83" t="s">
        <v>2741</v>
      </c>
      <c r="T616" s="83" t="s">
        <v>2843</v>
      </c>
      <c r="U616" s="83" t="s">
        <v>401</v>
      </c>
      <c r="AC616" s="83" t="s">
        <v>401</v>
      </c>
      <c r="AD616" s="83">
        <v>2309000</v>
      </c>
      <c r="AF616" s="83">
        <v>152000</v>
      </c>
      <c r="AJ616" s="83">
        <v>1</v>
      </c>
      <c r="AK616" s="83">
        <v>1</v>
      </c>
      <c r="AL616" s="83">
        <v>14710</v>
      </c>
      <c r="AM616" s="83" t="s">
        <v>2693</v>
      </c>
      <c r="BK616" s="83" t="s">
        <v>2694</v>
      </c>
      <c r="BL616" s="83" t="s">
        <v>2730</v>
      </c>
      <c r="BM616" s="83" t="s">
        <v>2704</v>
      </c>
      <c r="BN616" s="83" t="s">
        <v>2698</v>
      </c>
      <c r="BO616" s="83" t="s">
        <v>2697</v>
      </c>
      <c r="BP616" s="83" t="s">
        <v>2697</v>
      </c>
      <c r="BQ616" s="83" t="s">
        <v>2699</v>
      </c>
      <c r="BR616" s="83" t="s">
        <v>2693</v>
      </c>
      <c r="BS616" s="83" t="s">
        <v>2699</v>
      </c>
      <c r="BT616" s="83" t="s">
        <v>2696</v>
      </c>
      <c r="BU616" s="83" t="s">
        <v>2699</v>
      </c>
      <c r="BV616" s="83" t="s">
        <v>2696</v>
      </c>
      <c r="BW616" s="83" t="s">
        <v>2698</v>
      </c>
      <c r="BX616" s="83" t="s">
        <v>2696</v>
      </c>
      <c r="BY616" s="83" t="s">
        <v>2699</v>
      </c>
      <c r="BZ616" s="83" t="s">
        <v>2693</v>
      </c>
      <c r="CA616" s="83" t="s">
        <v>2693</v>
      </c>
      <c r="CB616" s="83" t="s">
        <v>2699</v>
      </c>
      <c r="CC616" s="83" t="s">
        <v>2699</v>
      </c>
      <c r="CD616" s="83" t="s">
        <v>2696</v>
      </c>
      <c r="CF616" s="83" t="s">
        <v>3122</v>
      </c>
      <c r="CG616" s="83" t="s">
        <v>2467</v>
      </c>
      <c r="CH616" s="83" t="s">
        <v>2695</v>
      </c>
      <c r="CI616" s="83" t="s">
        <v>648</v>
      </c>
      <c r="CJ616" s="83" t="s">
        <v>2726</v>
      </c>
      <c r="CL616" s="99">
        <v>23000</v>
      </c>
    </row>
    <row r="617" spans="1:90">
      <c r="A617" s="79" t="s">
        <v>3785</v>
      </c>
      <c r="B617" s="79" t="s">
        <v>3813</v>
      </c>
      <c r="C617" s="79"/>
      <c r="D617" s="79" t="s">
        <v>688</v>
      </c>
      <c r="E617" s="79" t="s">
        <v>3847</v>
      </c>
      <c r="F617" s="79">
        <v>13364</v>
      </c>
      <c r="G617" s="79" t="s">
        <v>3873</v>
      </c>
      <c r="H617" s="79" t="s">
        <v>1201</v>
      </c>
      <c r="I617" s="79" t="s">
        <v>1202</v>
      </c>
      <c r="J617" s="79" t="s">
        <v>1203</v>
      </c>
      <c r="K617" s="79" t="s">
        <v>565</v>
      </c>
      <c r="L617" s="79" t="s">
        <v>398</v>
      </c>
      <c r="M617" s="79" t="s">
        <v>399</v>
      </c>
      <c r="N617" s="79" t="s">
        <v>1909</v>
      </c>
      <c r="O617" s="79" t="s">
        <v>106</v>
      </c>
      <c r="P617" s="79">
        <v>0</v>
      </c>
      <c r="Q617" s="79" t="s">
        <v>106</v>
      </c>
      <c r="R617" s="79">
        <v>24</v>
      </c>
      <c r="S617" s="90">
        <v>31412</v>
      </c>
      <c r="T617" s="79" t="s">
        <v>2703</v>
      </c>
      <c r="U617" s="79" t="s">
        <v>401</v>
      </c>
      <c r="AC617" s="79" t="s">
        <v>401</v>
      </c>
      <c r="AD617" s="79">
        <v>0</v>
      </c>
      <c r="AE617" s="79"/>
      <c r="AF617" s="79">
        <v>10000</v>
      </c>
      <c r="AG617" s="79"/>
      <c r="AH617" s="79"/>
      <c r="AI617" s="79"/>
      <c r="AJ617" s="79">
        <v>1</v>
      </c>
      <c r="AK617" s="79">
        <v>0</v>
      </c>
      <c r="AL617" s="79">
        <v>0</v>
      </c>
      <c r="AM617" s="79">
        <v>0</v>
      </c>
      <c r="AN617" s="79">
        <v>0</v>
      </c>
      <c r="AO617" s="79">
        <v>0</v>
      </c>
      <c r="AP617" s="79">
        <v>0</v>
      </c>
      <c r="AQ617" s="79">
        <v>0</v>
      </c>
      <c r="AR617" s="79">
        <v>0</v>
      </c>
      <c r="AS617" s="79">
        <v>0</v>
      </c>
      <c r="AT617" s="79">
        <v>0</v>
      </c>
      <c r="AU617" s="79">
        <v>0</v>
      </c>
      <c r="AV617" s="79">
        <v>0</v>
      </c>
      <c r="AW617" s="79">
        <v>0</v>
      </c>
      <c r="AX617" s="79">
        <v>0</v>
      </c>
      <c r="AY617" s="79">
        <v>0</v>
      </c>
      <c r="AZ617" s="79">
        <v>0</v>
      </c>
      <c r="BA617" s="79">
        <v>0</v>
      </c>
      <c r="BB617" s="79">
        <v>0</v>
      </c>
      <c r="BC617" s="79">
        <v>0</v>
      </c>
      <c r="BD617" s="79">
        <v>0</v>
      </c>
      <c r="BE617" s="79">
        <v>0</v>
      </c>
      <c r="BF617" s="79">
        <v>0</v>
      </c>
      <c r="BG617" s="79">
        <v>0</v>
      </c>
      <c r="BH617" s="79">
        <v>0</v>
      </c>
      <c r="BI617" s="79">
        <v>0</v>
      </c>
      <c r="BJ617" s="79">
        <v>0</v>
      </c>
      <c r="BK617" s="79">
        <v>0</v>
      </c>
      <c r="BL617" s="79">
        <v>0</v>
      </c>
      <c r="BM617" s="79">
        <v>0</v>
      </c>
      <c r="BN617" s="79">
        <v>0</v>
      </c>
      <c r="BO617" s="79">
        <v>0</v>
      </c>
      <c r="BP617" s="79">
        <v>0</v>
      </c>
      <c r="BQ617" s="79">
        <v>0</v>
      </c>
      <c r="BR617" s="79">
        <v>0</v>
      </c>
      <c r="BS617" s="79">
        <v>0</v>
      </c>
      <c r="BT617" s="79">
        <v>0</v>
      </c>
      <c r="BU617" s="79">
        <v>0</v>
      </c>
      <c r="BV617" s="79">
        <v>0</v>
      </c>
      <c r="BW617" s="79">
        <v>0</v>
      </c>
      <c r="BX617" s="79">
        <v>0</v>
      </c>
      <c r="BY617" s="79">
        <v>0</v>
      </c>
      <c r="BZ617" s="79">
        <v>0</v>
      </c>
      <c r="CA617" s="79">
        <v>0</v>
      </c>
      <c r="CB617" s="79">
        <v>0</v>
      </c>
      <c r="CC617" s="79">
        <v>0</v>
      </c>
      <c r="CD617" s="79">
        <v>0</v>
      </c>
      <c r="CE617" s="79"/>
      <c r="CF617" s="79" t="s">
        <v>3972</v>
      </c>
      <c r="CG617" s="79" t="s">
        <v>3973</v>
      </c>
      <c r="CH617" s="79"/>
      <c r="CI617" s="79"/>
      <c r="CJ617" s="79"/>
      <c r="CK617" s="145"/>
      <c r="CL617"/>
    </row>
    <row r="618" spans="1:90">
      <c r="A618" s="83" t="s">
        <v>3702</v>
      </c>
      <c r="B618" s="83" t="s">
        <v>989</v>
      </c>
      <c r="D618" s="83" t="s">
        <v>688</v>
      </c>
      <c r="E618" s="83" t="s">
        <v>989</v>
      </c>
      <c r="F618" s="83" t="s">
        <v>3703</v>
      </c>
      <c r="G618" s="83" t="s">
        <v>2459</v>
      </c>
      <c r="H618" s="83" t="s">
        <v>1201</v>
      </c>
      <c r="I618" s="83" t="s">
        <v>1202</v>
      </c>
      <c r="J618" s="83" t="s">
        <v>1203</v>
      </c>
      <c r="K618" s="83" t="s">
        <v>565</v>
      </c>
      <c r="L618" s="83" t="s">
        <v>398</v>
      </c>
      <c r="M618" s="83" t="s">
        <v>399</v>
      </c>
      <c r="N618" s="83" t="s">
        <v>3699</v>
      </c>
      <c r="O618" s="83" t="s">
        <v>106</v>
      </c>
      <c r="P618" s="83">
        <v>0</v>
      </c>
      <c r="Q618" s="83" t="s">
        <v>106</v>
      </c>
      <c r="R618" s="83" t="s">
        <v>2799</v>
      </c>
      <c r="S618" s="87">
        <v>31412</v>
      </c>
      <c r="T618" s="83" t="s">
        <v>2703</v>
      </c>
      <c r="U618" s="83" t="s">
        <v>401</v>
      </c>
      <c r="AC618" s="83" t="s">
        <v>401</v>
      </c>
      <c r="AD618" s="83">
        <v>0</v>
      </c>
      <c r="AF618" s="83">
        <v>10000</v>
      </c>
      <c r="AJ618" s="83">
        <v>0</v>
      </c>
      <c r="AK618" s="83">
        <v>0</v>
      </c>
      <c r="AL618" s="83">
        <v>0</v>
      </c>
      <c r="AM618" s="83" t="s">
        <v>2693</v>
      </c>
      <c r="BK618" s="83" t="s">
        <v>2696</v>
      </c>
      <c r="BL618" s="83" t="s">
        <v>2696</v>
      </c>
      <c r="BM618" s="83" t="s">
        <v>2696</v>
      </c>
      <c r="BN618" s="83" t="s">
        <v>2696</v>
      </c>
      <c r="BO618" s="83" t="s">
        <v>2696</v>
      </c>
      <c r="BP618" s="83" t="s">
        <v>2696</v>
      </c>
      <c r="BQ618" s="83" t="s">
        <v>2696</v>
      </c>
      <c r="BR618" s="83" t="s">
        <v>2696</v>
      </c>
      <c r="BS618" s="83" t="s">
        <v>2696</v>
      </c>
      <c r="BT618" s="83" t="s">
        <v>2696</v>
      </c>
      <c r="BU618" s="83">
        <v>0</v>
      </c>
      <c r="BV618" s="83" t="s">
        <v>2696</v>
      </c>
      <c r="BW618" s="83" t="s">
        <v>2696</v>
      </c>
      <c r="BX618" s="83" t="s">
        <v>2696</v>
      </c>
      <c r="BY618" s="83" t="s">
        <v>2696</v>
      </c>
      <c r="BZ618" s="83" t="s">
        <v>2696</v>
      </c>
      <c r="CA618" s="83" t="s">
        <v>2696</v>
      </c>
      <c r="CB618" s="83">
        <v>0</v>
      </c>
      <c r="CC618" s="83" t="s">
        <v>2696</v>
      </c>
      <c r="CD618" s="83" t="s">
        <v>2696</v>
      </c>
      <c r="CF618" s="83" t="s">
        <v>3704</v>
      </c>
      <c r="CG618" s="83" t="s">
        <v>3705</v>
      </c>
      <c r="CK618" s="144">
        <v>0</v>
      </c>
      <c r="CL618"/>
    </row>
    <row r="619" spans="1:90">
      <c r="A619" s="83" t="s">
        <v>1471</v>
      </c>
      <c r="B619" s="83" t="s">
        <v>1520</v>
      </c>
      <c r="D619" s="83" t="s">
        <v>688</v>
      </c>
      <c r="E619" s="83" t="s">
        <v>2768</v>
      </c>
      <c r="F619" s="83" t="s">
        <v>1789</v>
      </c>
      <c r="G619" s="83" t="s">
        <v>1898</v>
      </c>
      <c r="H619" s="83" t="s">
        <v>1201</v>
      </c>
      <c r="I619" s="83" t="s">
        <v>1202</v>
      </c>
      <c r="J619" s="83" t="s">
        <v>1203</v>
      </c>
      <c r="K619" s="83" t="s">
        <v>565</v>
      </c>
      <c r="L619" s="83" t="s">
        <v>398</v>
      </c>
      <c r="M619" s="83" t="s">
        <v>399</v>
      </c>
      <c r="N619" s="83" t="s">
        <v>1909</v>
      </c>
      <c r="O619" s="83" t="s">
        <v>106</v>
      </c>
      <c r="P619" s="83">
        <v>8</v>
      </c>
      <c r="Q619" s="83" t="s">
        <v>106</v>
      </c>
      <c r="R619" s="83" t="s">
        <v>2730</v>
      </c>
      <c r="S619" s="83" t="s">
        <v>2769</v>
      </c>
      <c r="T619" s="83" t="s">
        <v>2158</v>
      </c>
      <c r="U619" s="83" t="s">
        <v>401</v>
      </c>
      <c r="AC619" s="83" t="s">
        <v>401</v>
      </c>
      <c r="AD619" s="83">
        <v>3838000</v>
      </c>
      <c r="AF619" s="83">
        <v>0</v>
      </c>
      <c r="AJ619" s="83">
        <v>1</v>
      </c>
      <c r="AK619" s="83">
        <v>2</v>
      </c>
      <c r="AL619" s="83">
        <v>37660</v>
      </c>
      <c r="AM619" s="83" t="s">
        <v>2693</v>
      </c>
      <c r="BK619" s="83" t="s">
        <v>2694</v>
      </c>
      <c r="BL619" s="83" t="s">
        <v>2697</v>
      </c>
      <c r="BM619" s="83" t="s">
        <v>2699</v>
      </c>
      <c r="BN619" s="83" t="s">
        <v>2699</v>
      </c>
      <c r="BO619" s="83" t="s">
        <v>2697</v>
      </c>
      <c r="BP619" s="83" t="s">
        <v>2697</v>
      </c>
      <c r="BQ619" s="83" t="s">
        <v>2693</v>
      </c>
      <c r="BR619" s="83" t="s">
        <v>2699</v>
      </c>
      <c r="BS619" s="83" t="s">
        <v>2699</v>
      </c>
      <c r="BT619" s="83">
        <v>0</v>
      </c>
      <c r="BU619" s="83" t="s">
        <v>2699</v>
      </c>
      <c r="BV619" s="83" t="s">
        <v>2696</v>
      </c>
      <c r="BW619" s="83" t="s">
        <v>2698</v>
      </c>
      <c r="BX619" s="83" t="s">
        <v>2696</v>
      </c>
      <c r="BY619" s="83" t="s">
        <v>2699</v>
      </c>
      <c r="BZ619" s="83" t="s">
        <v>2693</v>
      </c>
      <c r="CA619" s="83" t="s">
        <v>2693</v>
      </c>
      <c r="CB619" s="83">
        <v>9</v>
      </c>
      <c r="CC619" s="83" t="s">
        <v>2699</v>
      </c>
      <c r="CD619" s="83" t="s">
        <v>2699</v>
      </c>
      <c r="CF619" s="83" t="s">
        <v>2159</v>
      </c>
      <c r="CG619" s="83" t="s">
        <v>2160</v>
      </c>
      <c r="CH619" s="83" t="s">
        <v>2695</v>
      </c>
      <c r="CI619" s="83" t="s">
        <v>648</v>
      </c>
      <c r="CJ619" s="83" t="s">
        <v>2731</v>
      </c>
      <c r="CK619" s="144">
        <v>0</v>
      </c>
      <c r="CL619"/>
    </row>
    <row r="620" spans="1:90">
      <c r="A620" s="83" t="s">
        <v>1471</v>
      </c>
      <c r="B620" s="83" t="s">
        <v>1520</v>
      </c>
      <c r="D620" s="83" t="s">
        <v>673</v>
      </c>
      <c r="E620" s="83" t="s">
        <v>2813</v>
      </c>
      <c r="F620" s="83" t="s">
        <v>1789</v>
      </c>
      <c r="G620" s="83" t="s">
        <v>1898</v>
      </c>
      <c r="H620" s="83" t="s">
        <v>1201</v>
      </c>
      <c r="I620" s="83" t="s">
        <v>1202</v>
      </c>
      <c r="J620" s="83" t="s">
        <v>1203</v>
      </c>
      <c r="K620" s="83" t="s">
        <v>565</v>
      </c>
      <c r="L620" s="83" t="s">
        <v>398</v>
      </c>
      <c r="M620" s="83" t="s">
        <v>399</v>
      </c>
      <c r="N620" s="83" t="s">
        <v>1909</v>
      </c>
      <c r="O620" s="83" t="s">
        <v>106</v>
      </c>
      <c r="P620" s="83">
        <v>9</v>
      </c>
      <c r="Q620" s="83" t="s">
        <v>106</v>
      </c>
      <c r="R620" s="83" t="s">
        <v>2727</v>
      </c>
      <c r="S620" s="83" t="s">
        <v>1468</v>
      </c>
      <c r="T620" s="83" t="s">
        <v>2158</v>
      </c>
      <c r="U620" s="83" t="s">
        <v>401</v>
      </c>
      <c r="AC620" s="83" t="s">
        <v>401</v>
      </c>
      <c r="AD620" s="83">
        <v>71000</v>
      </c>
      <c r="AF620" s="83">
        <v>0</v>
      </c>
      <c r="AJ620" s="83">
        <v>1</v>
      </c>
      <c r="AK620" s="83">
        <v>1</v>
      </c>
      <c r="AL620" s="83">
        <v>1020</v>
      </c>
      <c r="AM620" s="83" t="s">
        <v>2693</v>
      </c>
      <c r="BK620" s="83" t="s">
        <v>2694</v>
      </c>
      <c r="BL620" s="83" t="s">
        <v>2699</v>
      </c>
      <c r="BM620" s="83" t="s">
        <v>2698</v>
      </c>
      <c r="BN620" s="83" t="s">
        <v>2699</v>
      </c>
      <c r="BO620" s="83" t="s">
        <v>2693</v>
      </c>
      <c r="BP620" s="83" t="s">
        <v>2695</v>
      </c>
      <c r="BQ620" s="83" t="s">
        <v>2693</v>
      </c>
      <c r="BR620" s="83" t="s">
        <v>2693</v>
      </c>
      <c r="BS620" s="83" t="s">
        <v>2699</v>
      </c>
      <c r="BT620" s="83">
        <v>0</v>
      </c>
      <c r="BU620" s="83" t="s">
        <v>2699</v>
      </c>
      <c r="BV620" s="83" t="s">
        <v>2696</v>
      </c>
      <c r="BW620" s="83" t="s">
        <v>2693</v>
      </c>
      <c r="BX620" s="83" t="s">
        <v>2696</v>
      </c>
      <c r="BY620" s="83" t="s">
        <v>2699</v>
      </c>
      <c r="BZ620" s="83" t="s">
        <v>2699</v>
      </c>
      <c r="CA620" s="83" t="s">
        <v>2693</v>
      </c>
      <c r="CB620" s="83" t="s">
        <v>2694</v>
      </c>
      <c r="CC620" s="83" t="s">
        <v>2699</v>
      </c>
      <c r="CD620" s="83" t="s">
        <v>2696</v>
      </c>
      <c r="CF620" s="83" t="s">
        <v>2161</v>
      </c>
      <c r="CG620" s="83" t="s">
        <v>2162</v>
      </c>
      <c r="CH620" s="83" t="s">
        <v>2697</v>
      </c>
      <c r="CI620" s="83" t="s">
        <v>648</v>
      </c>
      <c r="CJ620" s="83" t="s">
        <v>2757</v>
      </c>
      <c r="CK620" s="144">
        <v>0</v>
      </c>
      <c r="CL620"/>
    </row>
    <row r="621" spans="1:90">
      <c r="A621" s="83" t="s">
        <v>3532</v>
      </c>
      <c r="B621" s="83" t="s">
        <v>3533</v>
      </c>
      <c r="D621" s="83" t="s">
        <v>688</v>
      </c>
      <c r="E621" s="83" t="s">
        <v>3534</v>
      </c>
      <c r="F621" s="83" t="s">
        <v>3535</v>
      </c>
      <c r="G621" s="83" t="s">
        <v>1148</v>
      </c>
      <c r="H621" s="83" t="s">
        <v>1201</v>
      </c>
      <c r="I621" s="83" t="s">
        <v>1202</v>
      </c>
      <c r="J621" s="83" t="s">
        <v>1203</v>
      </c>
      <c r="K621" s="83" t="s">
        <v>565</v>
      </c>
      <c r="L621" s="83" t="s">
        <v>398</v>
      </c>
      <c r="M621" s="83" t="s">
        <v>399</v>
      </c>
      <c r="N621" s="83" t="s">
        <v>2792</v>
      </c>
      <c r="O621" s="83" t="s">
        <v>106</v>
      </c>
      <c r="P621" s="83">
        <v>8</v>
      </c>
      <c r="Q621" s="83" t="s">
        <v>106</v>
      </c>
      <c r="R621" s="83" t="s">
        <v>2799</v>
      </c>
      <c r="S621" s="83" t="s">
        <v>2932</v>
      </c>
      <c r="T621" s="83" t="s">
        <v>2703</v>
      </c>
      <c r="U621" s="83" t="s">
        <v>401</v>
      </c>
      <c r="AC621" s="83" t="s">
        <v>401</v>
      </c>
      <c r="AD621" s="83">
        <v>1789000</v>
      </c>
      <c r="AF621" s="83">
        <v>165000</v>
      </c>
      <c r="AJ621" s="83">
        <v>1</v>
      </c>
      <c r="AK621" s="83">
        <v>1</v>
      </c>
      <c r="AL621" s="83">
        <v>15936</v>
      </c>
      <c r="AM621" s="83" t="s">
        <v>2693</v>
      </c>
      <c r="BK621" s="83" t="s">
        <v>2694</v>
      </c>
      <c r="BL621" s="83" t="s">
        <v>2693</v>
      </c>
      <c r="BM621" s="83" t="s">
        <v>2725</v>
      </c>
      <c r="BN621" s="83" t="s">
        <v>2698</v>
      </c>
      <c r="BO621" s="83" t="s">
        <v>2697</v>
      </c>
      <c r="BP621" s="83" t="s">
        <v>2697</v>
      </c>
      <c r="BQ621" s="83" t="s">
        <v>2699</v>
      </c>
      <c r="BR621" s="83" t="s">
        <v>2693</v>
      </c>
      <c r="BS621" s="83" t="s">
        <v>2699</v>
      </c>
      <c r="BT621" s="83" t="s">
        <v>2696</v>
      </c>
      <c r="BU621" s="83" t="s">
        <v>2699</v>
      </c>
      <c r="BV621" s="83" t="s">
        <v>2697</v>
      </c>
      <c r="BW621" s="83" t="s">
        <v>2698</v>
      </c>
      <c r="BX621" s="83" t="s">
        <v>2696</v>
      </c>
      <c r="BY621" s="83" t="s">
        <v>2699</v>
      </c>
      <c r="BZ621" s="83" t="s">
        <v>2699</v>
      </c>
      <c r="CA621" s="83" t="s">
        <v>2693</v>
      </c>
      <c r="CB621" s="83" t="s">
        <v>2694</v>
      </c>
      <c r="CC621" s="83" t="s">
        <v>2699</v>
      </c>
      <c r="CD621" s="83" t="s">
        <v>2696</v>
      </c>
      <c r="CF621" s="83" t="s">
        <v>707</v>
      </c>
      <c r="CG621" s="83" t="s">
        <v>708</v>
      </c>
      <c r="CH621" s="83" t="s">
        <v>2695</v>
      </c>
      <c r="CI621" s="83" t="s">
        <v>648</v>
      </c>
      <c r="CJ621" s="83" t="s">
        <v>2780</v>
      </c>
      <c r="CK621" s="144">
        <v>0</v>
      </c>
      <c r="CL621"/>
    </row>
    <row r="622" spans="1:90">
      <c r="A622" s="83" t="s">
        <v>1593</v>
      </c>
      <c r="B622" s="83" t="s">
        <v>1661</v>
      </c>
      <c r="D622" s="83" t="s">
        <v>688</v>
      </c>
      <c r="E622" s="83" t="s">
        <v>1661</v>
      </c>
      <c r="F622" s="83" t="s">
        <v>1790</v>
      </c>
      <c r="G622" s="83" t="s">
        <v>1165</v>
      </c>
      <c r="H622" s="83" t="s">
        <v>1201</v>
      </c>
      <c r="I622" s="83" t="s">
        <v>1202</v>
      </c>
      <c r="J622" s="83" t="s">
        <v>1203</v>
      </c>
      <c r="K622" s="83" t="s">
        <v>565</v>
      </c>
      <c r="L622" s="83" t="s">
        <v>398</v>
      </c>
      <c r="M622" s="83" t="s">
        <v>399</v>
      </c>
      <c r="N622" s="83" t="s">
        <v>2752</v>
      </c>
      <c r="O622" s="83" t="s">
        <v>106</v>
      </c>
      <c r="P622" s="83">
        <v>8</v>
      </c>
      <c r="Q622" s="83" t="s">
        <v>106</v>
      </c>
      <c r="R622" s="83" t="s">
        <v>2753</v>
      </c>
      <c r="S622" s="83" t="s">
        <v>2814</v>
      </c>
      <c r="T622" s="83" t="s">
        <v>2703</v>
      </c>
      <c r="U622" s="83" t="s">
        <v>401</v>
      </c>
      <c r="AC622" s="83" t="s">
        <v>401</v>
      </c>
      <c r="AD622" s="83">
        <v>755000</v>
      </c>
      <c r="AF622" s="83">
        <v>118000</v>
      </c>
      <c r="AJ622" s="83">
        <v>1</v>
      </c>
      <c r="AK622" s="83">
        <v>1</v>
      </c>
      <c r="AL622" s="83">
        <v>5688</v>
      </c>
      <c r="AM622" s="83" t="s">
        <v>2693</v>
      </c>
      <c r="BK622" s="83" t="s">
        <v>2694</v>
      </c>
      <c r="BL622" s="83" t="s">
        <v>2699</v>
      </c>
      <c r="BM622" s="83" t="s">
        <v>2698</v>
      </c>
      <c r="BN622" s="83" t="s">
        <v>2699</v>
      </c>
      <c r="BO622" s="83" t="s">
        <v>2693</v>
      </c>
      <c r="BP622" s="83" t="s">
        <v>2695</v>
      </c>
      <c r="BQ622" s="83" t="s">
        <v>2693</v>
      </c>
      <c r="BR622" s="83" t="s">
        <v>2693</v>
      </c>
      <c r="BS622" s="83" t="s">
        <v>2699</v>
      </c>
      <c r="BT622" s="83">
        <v>0</v>
      </c>
      <c r="BU622" s="83" t="s">
        <v>2699</v>
      </c>
      <c r="BV622" s="83" t="s">
        <v>2696</v>
      </c>
      <c r="BW622" s="83" t="s">
        <v>2699</v>
      </c>
      <c r="BX622" s="83" t="s">
        <v>2696</v>
      </c>
      <c r="BY622" s="83" t="s">
        <v>2699</v>
      </c>
      <c r="BZ622" s="83" t="s">
        <v>2696</v>
      </c>
      <c r="CA622" s="83" t="s">
        <v>2693</v>
      </c>
      <c r="CB622" s="83" t="s">
        <v>2694</v>
      </c>
      <c r="CC622" s="83" t="s">
        <v>2696</v>
      </c>
      <c r="CD622" s="83" t="s">
        <v>2696</v>
      </c>
      <c r="CF622" s="83" t="s">
        <v>2215</v>
      </c>
      <c r="CG622" s="83" t="s">
        <v>2216</v>
      </c>
      <c r="CH622" s="83" t="s">
        <v>2695</v>
      </c>
      <c r="CI622" s="83" t="s">
        <v>648</v>
      </c>
      <c r="CJ622" s="83" t="s">
        <v>2731</v>
      </c>
      <c r="CK622" s="144">
        <v>0</v>
      </c>
      <c r="CL622" s="99">
        <v>82000</v>
      </c>
    </row>
    <row r="623" spans="1:90">
      <c r="A623" s="83" t="s">
        <v>799</v>
      </c>
      <c r="B623" s="83" t="s">
        <v>915</v>
      </c>
      <c r="D623" s="83" t="s">
        <v>688</v>
      </c>
      <c r="E623" s="83" t="s">
        <v>3536</v>
      </c>
      <c r="F623" s="83" t="s">
        <v>3425</v>
      </c>
      <c r="G623" s="83" t="s">
        <v>1155</v>
      </c>
      <c r="H623" s="83" t="s">
        <v>1201</v>
      </c>
      <c r="I623" s="83" t="s">
        <v>1202</v>
      </c>
      <c r="J623" s="83" t="s">
        <v>1203</v>
      </c>
      <c r="K623" s="83" t="s">
        <v>565</v>
      </c>
      <c r="L623" s="83" t="s">
        <v>398</v>
      </c>
      <c r="M623" s="83" t="s">
        <v>399</v>
      </c>
      <c r="N623" s="83" t="s">
        <v>3057</v>
      </c>
      <c r="O623" s="83" t="s">
        <v>106</v>
      </c>
      <c r="P623" s="83">
        <v>1</v>
      </c>
      <c r="Q623" s="83" t="s">
        <v>106</v>
      </c>
      <c r="R623" s="83" t="s">
        <v>2799</v>
      </c>
      <c r="S623" s="83" t="s">
        <v>1463</v>
      </c>
      <c r="T623" s="83" t="s">
        <v>2703</v>
      </c>
      <c r="U623" s="83" t="s">
        <v>401</v>
      </c>
      <c r="AC623" s="83" t="s">
        <v>401</v>
      </c>
      <c r="AD623" s="83">
        <v>66000</v>
      </c>
      <c r="AF623" s="83">
        <v>3000</v>
      </c>
      <c r="AJ623" s="83">
        <v>1</v>
      </c>
      <c r="AK623" s="83">
        <v>1</v>
      </c>
      <c r="AL623" s="83">
        <v>864</v>
      </c>
      <c r="AM623" s="83" t="s">
        <v>2693</v>
      </c>
      <c r="BK623" s="83" t="s">
        <v>2694</v>
      </c>
      <c r="BL623" s="83" t="s">
        <v>2693</v>
      </c>
      <c r="BM623" s="83" t="s">
        <v>2698</v>
      </c>
      <c r="BN623" s="83" t="s">
        <v>2696</v>
      </c>
      <c r="BO623" s="83" t="s">
        <v>2697</v>
      </c>
      <c r="BP623" s="83" t="s">
        <v>2698</v>
      </c>
      <c r="BQ623" s="83" t="s">
        <v>2699</v>
      </c>
      <c r="BR623" s="83" t="s">
        <v>2693</v>
      </c>
      <c r="BS623" s="83" t="s">
        <v>2699</v>
      </c>
      <c r="BT623" s="83" t="s">
        <v>2696</v>
      </c>
      <c r="BU623" s="83" t="s">
        <v>2699</v>
      </c>
      <c r="BV623" s="83" t="s">
        <v>2697</v>
      </c>
      <c r="BW623" s="83" t="s">
        <v>2693</v>
      </c>
      <c r="BX623" s="83" t="s">
        <v>2696</v>
      </c>
      <c r="BY623" s="83" t="s">
        <v>2693</v>
      </c>
      <c r="BZ623" s="83" t="s">
        <v>2699</v>
      </c>
      <c r="CA623" s="83" t="s">
        <v>2693</v>
      </c>
      <c r="CB623" s="83" t="s">
        <v>2694</v>
      </c>
      <c r="CC623" s="83" t="s">
        <v>2696</v>
      </c>
      <c r="CD623" s="83" t="s">
        <v>2696</v>
      </c>
      <c r="CF623" s="83" t="s">
        <v>836</v>
      </c>
      <c r="CG623" s="83" t="s">
        <v>837</v>
      </c>
      <c r="CH623" s="83" t="s">
        <v>2699</v>
      </c>
      <c r="CI623" s="83" t="s">
        <v>2699</v>
      </c>
      <c r="CJ623" s="83" t="s">
        <v>2734</v>
      </c>
      <c r="CK623" s="144">
        <v>0</v>
      </c>
      <c r="CL623"/>
    </row>
    <row r="624" spans="1:90">
      <c r="A624" s="83" t="s">
        <v>799</v>
      </c>
      <c r="B624" s="83" t="s">
        <v>915</v>
      </c>
      <c r="D624" s="83" t="s">
        <v>673</v>
      </c>
      <c r="E624" s="83" t="s">
        <v>3537</v>
      </c>
      <c r="F624" s="83" t="s">
        <v>3425</v>
      </c>
      <c r="G624" s="83" t="s">
        <v>1155</v>
      </c>
      <c r="H624" s="83" t="s">
        <v>1201</v>
      </c>
      <c r="I624" s="83" t="s">
        <v>1202</v>
      </c>
      <c r="J624" s="83" t="s">
        <v>1203</v>
      </c>
      <c r="K624" s="83" t="s">
        <v>565</v>
      </c>
      <c r="L624" s="83" t="s">
        <v>398</v>
      </c>
      <c r="M624" s="83" t="s">
        <v>399</v>
      </c>
      <c r="N624" s="83" t="s">
        <v>3057</v>
      </c>
      <c r="O624" s="83" t="s">
        <v>106</v>
      </c>
      <c r="P624" s="83">
        <v>1</v>
      </c>
      <c r="Q624" s="83" t="s">
        <v>106</v>
      </c>
      <c r="R624" s="83" t="s">
        <v>2799</v>
      </c>
      <c r="S624" s="83" t="s">
        <v>1463</v>
      </c>
      <c r="T624" s="83" t="s">
        <v>2703</v>
      </c>
      <c r="U624" s="83" t="s">
        <v>401</v>
      </c>
      <c r="AC624" s="83" t="s">
        <v>401</v>
      </c>
      <c r="AD624" s="83">
        <v>66000</v>
      </c>
      <c r="AF624" s="83">
        <v>3000</v>
      </c>
      <c r="AJ624" s="83">
        <v>1</v>
      </c>
      <c r="AK624" s="83">
        <v>1</v>
      </c>
      <c r="AL624" s="83">
        <v>864</v>
      </c>
      <c r="AM624" s="83" t="s">
        <v>2693</v>
      </c>
      <c r="BK624" s="83" t="s">
        <v>2694</v>
      </c>
      <c r="BL624" s="83" t="s">
        <v>2693</v>
      </c>
      <c r="BM624" s="83" t="s">
        <v>2698</v>
      </c>
      <c r="BN624" s="83" t="s">
        <v>2696</v>
      </c>
      <c r="BO624" s="83" t="s">
        <v>2697</v>
      </c>
      <c r="BP624" s="83" t="s">
        <v>2698</v>
      </c>
      <c r="BQ624" s="83" t="s">
        <v>2699</v>
      </c>
      <c r="BR624" s="83" t="s">
        <v>2693</v>
      </c>
      <c r="BS624" s="83" t="s">
        <v>2699</v>
      </c>
      <c r="BT624" s="83" t="s">
        <v>2696</v>
      </c>
      <c r="BU624" s="83" t="s">
        <v>2699</v>
      </c>
      <c r="BV624" s="83" t="s">
        <v>2697</v>
      </c>
      <c r="BW624" s="83" t="s">
        <v>2693</v>
      </c>
      <c r="BX624" s="83" t="s">
        <v>2696</v>
      </c>
      <c r="BY624" s="83" t="s">
        <v>2693</v>
      </c>
      <c r="BZ624" s="83" t="s">
        <v>2699</v>
      </c>
      <c r="CA624" s="83" t="s">
        <v>2693</v>
      </c>
      <c r="CB624" s="83" t="s">
        <v>2694</v>
      </c>
      <c r="CC624" s="83" t="s">
        <v>2696</v>
      </c>
      <c r="CD624" s="83" t="s">
        <v>2696</v>
      </c>
      <c r="CF624" s="83" t="s">
        <v>838</v>
      </c>
      <c r="CG624" s="83" t="s">
        <v>839</v>
      </c>
      <c r="CH624" s="83" t="s">
        <v>2699</v>
      </c>
      <c r="CI624" s="83" t="s">
        <v>2699</v>
      </c>
      <c r="CJ624" s="83" t="s">
        <v>2734</v>
      </c>
      <c r="CK624" s="144">
        <v>0</v>
      </c>
      <c r="CL624"/>
    </row>
    <row r="625" spans="1:90">
      <c r="A625" s="83" t="s">
        <v>799</v>
      </c>
      <c r="B625" s="83" t="s">
        <v>915</v>
      </c>
      <c r="D625" s="83" t="s">
        <v>714</v>
      </c>
      <c r="E625" s="83" t="s">
        <v>3538</v>
      </c>
      <c r="F625" s="83" t="s">
        <v>3425</v>
      </c>
      <c r="G625" s="83" t="s">
        <v>1155</v>
      </c>
      <c r="H625" s="83" t="s">
        <v>1201</v>
      </c>
      <c r="I625" s="83" t="s">
        <v>1202</v>
      </c>
      <c r="J625" s="83" t="s">
        <v>1203</v>
      </c>
      <c r="K625" s="83" t="s">
        <v>565</v>
      </c>
      <c r="L625" s="83" t="s">
        <v>398</v>
      </c>
      <c r="M625" s="83" t="s">
        <v>399</v>
      </c>
      <c r="N625" s="83" t="s">
        <v>3057</v>
      </c>
      <c r="O625" s="83" t="s">
        <v>106</v>
      </c>
      <c r="P625" s="83">
        <v>1</v>
      </c>
      <c r="Q625" s="83" t="s">
        <v>106</v>
      </c>
      <c r="R625" s="83" t="s">
        <v>2799</v>
      </c>
      <c r="S625" s="83" t="s">
        <v>1463</v>
      </c>
      <c r="T625" s="83" t="s">
        <v>2703</v>
      </c>
      <c r="U625" s="83" t="s">
        <v>401</v>
      </c>
      <c r="AC625" s="83" t="s">
        <v>401</v>
      </c>
      <c r="AD625" s="83">
        <v>66000</v>
      </c>
      <c r="AF625" s="83">
        <v>3000</v>
      </c>
      <c r="AJ625" s="83">
        <v>1</v>
      </c>
      <c r="AK625" s="83">
        <v>1</v>
      </c>
      <c r="AL625" s="83">
        <v>864</v>
      </c>
      <c r="AM625" s="83" t="s">
        <v>2693</v>
      </c>
      <c r="BK625" s="83" t="s">
        <v>2694</v>
      </c>
      <c r="BL625" s="83" t="s">
        <v>2693</v>
      </c>
      <c r="BM625" s="83" t="s">
        <v>2698</v>
      </c>
      <c r="BN625" s="83" t="s">
        <v>2696</v>
      </c>
      <c r="BO625" s="83" t="s">
        <v>2697</v>
      </c>
      <c r="BP625" s="83" t="s">
        <v>2698</v>
      </c>
      <c r="BQ625" s="83" t="s">
        <v>2699</v>
      </c>
      <c r="BR625" s="83" t="s">
        <v>2693</v>
      </c>
      <c r="BS625" s="83" t="s">
        <v>2699</v>
      </c>
      <c r="BT625" s="83" t="s">
        <v>2696</v>
      </c>
      <c r="BU625" s="83" t="s">
        <v>2699</v>
      </c>
      <c r="BV625" s="83" t="s">
        <v>2697</v>
      </c>
      <c r="BW625" s="83" t="s">
        <v>2693</v>
      </c>
      <c r="BX625" s="83" t="s">
        <v>2696</v>
      </c>
      <c r="BY625" s="83" t="s">
        <v>2693</v>
      </c>
      <c r="BZ625" s="83" t="s">
        <v>2699</v>
      </c>
      <c r="CA625" s="83" t="s">
        <v>2693</v>
      </c>
      <c r="CB625" s="83" t="s">
        <v>2694</v>
      </c>
      <c r="CC625" s="83" t="s">
        <v>2696</v>
      </c>
      <c r="CD625" s="83" t="s">
        <v>2696</v>
      </c>
      <c r="CF625" s="83" t="s">
        <v>845</v>
      </c>
      <c r="CG625" s="83" t="s">
        <v>872</v>
      </c>
      <c r="CH625" s="83" t="s">
        <v>2699</v>
      </c>
      <c r="CI625" s="83" t="s">
        <v>2699</v>
      </c>
      <c r="CJ625" s="83" t="s">
        <v>2734</v>
      </c>
      <c r="CK625" s="144">
        <v>0</v>
      </c>
      <c r="CL625"/>
    </row>
    <row r="626" spans="1:90">
      <c r="A626" s="83" t="s">
        <v>799</v>
      </c>
      <c r="B626" s="83" t="s">
        <v>915</v>
      </c>
      <c r="D626" s="83" t="s">
        <v>716</v>
      </c>
      <c r="E626" s="83" t="s">
        <v>3539</v>
      </c>
      <c r="F626" s="83" t="s">
        <v>3425</v>
      </c>
      <c r="G626" s="83" t="s">
        <v>1155</v>
      </c>
      <c r="H626" s="83" t="s">
        <v>1201</v>
      </c>
      <c r="I626" s="83" t="s">
        <v>1202</v>
      </c>
      <c r="J626" s="83" t="s">
        <v>1203</v>
      </c>
      <c r="K626" s="83" t="s">
        <v>565</v>
      </c>
      <c r="L626" s="83" t="s">
        <v>398</v>
      </c>
      <c r="M626" s="83" t="s">
        <v>399</v>
      </c>
      <c r="N626" s="83" t="s">
        <v>3057</v>
      </c>
      <c r="O626" s="83" t="s">
        <v>106</v>
      </c>
      <c r="P626" s="83">
        <v>1</v>
      </c>
      <c r="Q626" s="83" t="s">
        <v>106</v>
      </c>
      <c r="R626" s="83" t="s">
        <v>2693</v>
      </c>
      <c r="S626" s="83" t="s">
        <v>1463</v>
      </c>
      <c r="T626" s="83" t="s">
        <v>2703</v>
      </c>
      <c r="U626" s="83" t="s">
        <v>401</v>
      </c>
      <c r="AC626" s="83" t="s">
        <v>401</v>
      </c>
      <c r="AD626" s="83">
        <v>140000</v>
      </c>
      <c r="AF626" s="83">
        <v>22000</v>
      </c>
      <c r="AJ626" s="83">
        <v>1</v>
      </c>
      <c r="AK626" s="83">
        <v>1</v>
      </c>
      <c r="AL626" s="83">
        <v>2156</v>
      </c>
      <c r="AM626" s="83" t="s">
        <v>2693</v>
      </c>
      <c r="BK626" s="83" t="s">
        <v>2694</v>
      </c>
      <c r="BL626" s="83" t="s">
        <v>2693</v>
      </c>
      <c r="BM626" s="83" t="s">
        <v>2693</v>
      </c>
      <c r="BN626" s="83" t="s">
        <v>2696</v>
      </c>
      <c r="BO626" s="83" t="s">
        <v>2697</v>
      </c>
      <c r="BP626" s="83" t="s">
        <v>2698</v>
      </c>
      <c r="BQ626" s="83" t="s">
        <v>2699</v>
      </c>
      <c r="BR626" s="83" t="s">
        <v>2693</v>
      </c>
      <c r="BS626" s="83" t="s">
        <v>2699</v>
      </c>
      <c r="BT626" s="83" t="s">
        <v>2696</v>
      </c>
      <c r="BU626" s="83" t="s">
        <v>2699</v>
      </c>
      <c r="BV626" s="83" t="s">
        <v>2697</v>
      </c>
      <c r="BW626" s="83" t="s">
        <v>2693</v>
      </c>
      <c r="BX626" s="83" t="s">
        <v>2696</v>
      </c>
      <c r="BY626" s="83" t="s">
        <v>2693</v>
      </c>
      <c r="BZ626" s="83" t="s">
        <v>2699</v>
      </c>
      <c r="CA626" s="83" t="s">
        <v>2693</v>
      </c>
      <c r="CB626" s="83" t="s">
        <v>2694</v>
      </c>
      <c r="CC626" s="83" t="s">
        <v>2696</v>
      </c>
      <c r="CD626" s="83" t="s">
        <v>2696</v>
      </c>
      <c r="CF626" s="83" t="s">
        <v>845</v>
      </c>
      <c r="CG626" s="83" t="s">
        <v>873</v>
      </c>
      <c r="CH626" s="83" t="s">
        <v>2699</v>
      </c>
      <c r="CI626" s="83" t="s">
        <v>2699</v>
      </c>
      <c r="CJ626" s="83" t="s">
        <v>2734</v>
      </c>
      <c r="CK626" s="144">
        <v>0</v>
      </c>
      <c r="CL626"/>
    </row>
    <row r="627" spans="1:90">
      <c r="A627" s="83" t="s">
        <v>799</v>
      </c>
      <c r="B627" s="83" t="s">
        <v>915</v>
      </c>
      <c r="D627" s="83" t="s">
        <v>717</v>
      </c>
      <c r="E627" s="83" t="s">
        <v>844</v>
      </c>
      <c r="F627" s="83" t="s">
        <v>3425</v>
      </c>
      <c r="G627" s="83" t="s">
        <v>1155</v>
      </c>
      <c r="H627" s="83" t="s">
        <v>1201</v>
      </c>
      <c r="I627" s="83" t="s">
        <v>1202</v>
      </c>
      <c r="J627" s="83" t="s">
        <v>1203</v>
      </c>
      <c r="K627" s="83" t="s">
        <v>565</v>
      </c>
      <c r="L627" s="83" t="s">
        <v>398</v>
      </c>
      <c r="M627" s="83" t="s">
        <v>399</v>
      </c>
      <c r="N627" s="83" t="s">
        <v>3057</v>
      </c>
      <c r="O627" s="83" t="s">
        <v>106</v>
      </c>
      <c r="P627" s="83">
        <v>1</v>
      </c>
      <c r="Q627" s="83" t="s">
        <v>106</v>
      </c>
      <c r="R627" s="83" t="s">
        <v>2799</v>
      </c>
      <c r="S627" s="83" t="s">
        <v>1463</v>
      </c>
      <c r="T627" s="83" t="s">
        <v>2703</v>
      </c>
      <c r="U627" s="83" t="s">
        <v>401</v>
      </c>
      <c r="AC627" s="83" t="s">
        <v>401</v>
      </c>
      <c r="AD627" s="83">
        <v>81000</v>
      </c>
      <c r="AF627" s="83">
        <v>12000</v>
      </c>
      <c r="AJ627" s="83">
        <v>1</v>
      </c>
      <c r="AK627" s="83">
        <v>1</v>
      </c>
      <c r="AL627" s="83">
        <v>1196</v>
      </c>
      <c r="AM627" s="83" t="s">
        <v>2693</v>
      </c>
      <c r="BK627" s="83" t="s">
        <v>2694</v>
      </c>
      <c r="BL627" s="83" t="s">
        <v>2704</v>
      </c>
      <c r="BM627" s="83" t="s">
        <v>2698</v>
      </c>
      <c r="BN627" s="83" t="s">
        <v>2696</v>
      </c>
      <c r="BO627" s="83" t="s">
        <v>2697</v>
      </c>
      <c r="BP627" s="83" t="s">
        <v>2698</v>
      </c>
      <c r="BQ627" s="83" t="s">
        <v>2699</v>
      </c>
      <c r="BR627" s="83" t="s">
        <v>2693</v>
      </c>
      <c r="BS627" s="83" t="s">
        <v>2699</v>
      </c>
      <c r="BT627" s="83" t="s">
        <v>2696</v>
      </c>
      <c r="BU627" s="83" t="s">
        <v>2699</v>
      </c>
      <c r="BV627" s="83" t="s">
        <v>2697</v>
      </c>
      <c r="BW627" s="83" t="s">
        <v>2693</v>
      </c>
      <c r="BX627" s="83" t="s">
        <v>2696</v>
      </c>
      <c r="BY627" s="83" t="s">
        <v>2693</v>
      </c>
      <c r="BZ627" s="83" t="s">
        <v>2699</v>
      </c>
      <c r="CA627" s="83" t="s">
        <v>2693</v>
      </c>
      <c r="CB627" s="83" t="s">
        <v>2694</v>
      </c>
      <c r="CC627" s="83" t="s">
        <v>2696</v>
      </c>
      <c r="CD627" s="83" t="s">
        <v>2696</v>
      </c>
      <c r="CF627" s="83" t="s">
        <v>845</v>
      </c>
      <c r="CG627" s="83" t="s">
        <v>792</v>
      </c>
      <c r="CH627" s="83" t="s">
        <v>2699</v>
      </c>
      <c r="CI627" s="83" t="s">
        <v>2699</v>
      </c>
      <c r="CJ627" s="83" t="s">
        <v>2734</v>
      </c>
      <c r="CK627" s="144">
        <v>0</v>
      </c>
      <c r="CL627"/>
    </row>
    <row r="628" spans="1:90">
      <c r="A628" s="83" t="s">
        <v>799</v>
      </c>
      <c r="B628" s="83" t="s">
        <v>915</v>
      </c>
      <c r="D628" s="83" t="s">
        <v>840</v>
      </c>
      <c r="E628" s="83" t="s">
        <v>3540</v>
      </c>
      <c r="F628" s="83" t="s">
        <v>3425</v>
      </c>
      <c r="G628" s="83" t="s">
        <v>1155</v>
      </c>
      <c r="H628" s="83" t="s">
        <v>1201</v>
      </c>
      <c r="I628" s="83" t="s">
        <v>1202</v>
      </c>
      <c r="J628" s="83" t="s">
        <v>1203</v>
      </c>
      <c r="K628" s="83" t="s">
        <v>565</v>
      </c>
      <c r="L628" s="83" t="s">
        <v>398</v>
      </c>
      <c r="M628" s="83" t="s">
        <v>399</v>
      </c>
      <c r="N628" s="83" t="s">
        <v>3057</v>
      </c>
      <c r="O628" s="83" t="s">
        <v>106</v>
      </c>
      <c r="P628" s="83">
        <v>4</v>
      </c>
      <c r="Q628" s="83" t="s">
        <v>106</v>
      </c>
      <c r="R628" s="83" t="s">
        <v>2799</v>
      </c>
      <c r="S628" s="83" t="s">
        <v>1463</v>
      </c>
      <c r="T628" s="83" t="s">
        <v>2703</v>
      </c>
      <c r="U628" s="83" t="s">
        <v>401</v>
      </c>
      <c r="AC628" s="83" t="s">
        <v>401</v>
      </c>
      <c r="AD628" s="83">
        <v>27000</v>
      </c>
      <c r="AF628" s="83">
        <v>7000</v>
      </c>
      <c r="AJ628" s="83">
        <v>1</v>
      </c>
      <c r="AK628" s="83">
        <v>1</v>
      </c>
      <c r="AL628" s="83">
        <v>576</v>
      </c>
      <c r="AM628" s="83" t="s">
        <v>2693</v>
      </c>
      <c r="BK628" s="83" t="s">
        <v>2694</v>
      </c>
      <c r="BL628" s="83" t="s">
        <v>2704</v>
      </c>
      <c r="BM628" s="83" t="s">
        <v>2698</v>
      </c>
      <c r="BN628" s="83" t="s">
        <v>2698</v>
      </c>
      <c r="BO628" s="83" t="s">
        <v>2697</v>
      </c>
      <c r="BP628" s="83" t="s">
        <v>2695</v>
      </c>
      <c r="BQ628" s="83" t="s">
        <v>2699</v>
      </c>
      <c r="BR628" s="83" t="s">
        <v>2693</v>
      </c>
      <c r="BS628" s="83" t="s">
        <v>2699</v>
      </c>
      <c r="BT628" s="83" t="s">
        <v>2696</v>
      </c>
      <c r="BU628" s="83" t="s">
        <v>2699</v>
      </c>
      <c r="BV628" s="83" t="s">
        <v>2697</v>
      </c>
      <c r="BW628" s="83" t="s">
        <v>2698</v>
      </c>
      <c r="BX628" s="83" t="s">
        <v>2696</v>
      </c>
      <c r="BY628" s="83" t="s">
        <v>2699</v>
      </c>
      <c r="BZ628" s="83" t="s">
        <v>2699</v>
      </c>
      <c r="CA628" s="83" t="s">
        <v>2693</v>
      </c>
      <c r="CB628" s="83" t="s">
        <v>2694</v>
      </c>
      <c r="CC628" s="83" t="s">
        <v>2696</v>
      </c>
      <c r="CD628" s="83" t="s">
        <v>2696</v>
      </c>
      <c r="CF628" s="83" t="s">
        <v>841</v>
      </c>
      <c r="CG628" s="83" t="s">
        <v>842</v>
      </c>
      <c r="CH628" s="83" t="s">
        <v>2693</v>
      </c>
      <c r="CI628" s="83" t="s">
        <v>3992</v>
      </c>
      <c r="CJ628" s="83" t="s">
        <v>2701</v>
      </c>
      <c r="CK628" s="144">
        <v>0</v>
      </c>
      <c r="CL628"/>
    </row>
    <row r="629" spans="1:90" s="79" customFormat="1">
      <c r="A629" s="83" t="s">
        <v>799</v>
      </c>
      <c r="B629" s="83" t="s">
        <v>915</v>
      </c>
      <c r="C629" s="83"/>
      <c r="D629" s="83" t="s">
        <v>843</v>
      </c>
      <c r="E629" s="83" t="s">
        <v>847</v>
      </c>
      <c r="F629" s="83" t="s">
        <v>3425</v>
      </c>
      <c r="G629" s="83" t="s">
        <v>1155</v>
      </c>
      <c r="H629" s="83" t="s">
        <v>1201</v>
      </c>
      <c r="I629" s="83" t="s">
        <v>1202</v>
      </c>
      <c r="J629" s="83" t="s">
        <v>1203</v>
      </c>
      <c r="K629" s="83" t="s">
        <v>565</v>
      </c>
      <c r="L629" s="83" t="s">
        <v>398</v>
      </c>
      <c r="M629" s="83" t="s">
        <v>399</v>
      </c>
      <c r="N629" s="83" t="s">
        <v>3057</v>
      </c>
      <c r="O629" s="83" t="s">
        <v>106</v>
      </c>
      <c r="P629" s="83">
        <v>4</v>
      </c>
      <c r="Q629" s="83" t="s">
        <v>106</v>
      </c>
      <c r="R629" s="83" t="s">
        <v>2693</v>
      </c>
      <c r="S629" s="83" t="s">
        <v>1463</v>
      </c>
      <c r="T629" s="83" t="s">
        <v>2703</v>
      </c>
      <c r="U629" s="83" t="s">
        <v>401</v>
      </c>
      <c r="V629" s="97"/>
      <c r="W629" s="97"/>
      <c r="X629" s="97"/>
      <c r="Y629" s="97"/>
      <c r="Z629" s="97"/>
      <c r="AA629" s="97"/>
      <c r="AB629" s="97"/>
      <c r="AC629" s="83" t="s">
        <v>401</v>
      </c>
      <c r="AD629" s="83">
        <v>13000</v>
      </c>
      <c r="AE629" s="83"/>
      <c r="AF629" s="83">
        <v>4000</v>
      </c>
      <c r="AG629" s="83"/>
      <c r="AH629" s="83"/>
      <c r="AI629" s="83"/>
      <c r="AJ629" s="83">
        <v>1</v>
      </c>
      <c r="AK629" s="83">
        <v>1</v>
      </c>
      <c r="AL629" s="83">
        <v>288</v>
      </c>
      <c r="AM629" s="83" t="s">
        <v>2693</v>
      </c>
      <c r="AN629" s="83"/>
      <c r="AO629" s="83"/>
      <c r="AP629" s="83"/>
      <c r="AQ629" s="83"/>
      <c r="AR629" s="83"/>
      <c r="AS629" s="83"/>
      <c r="AT629" s="83"/>
      <c r="AU629" s="83"/>
      <c r="AV629" s="83"/>
      <c r="AW629" s="83"/>
      <c r="AX629" s="83"/>
      <c r="AY629" s="83"/>
      <c r="AZ629" s="83"/>
      <c r="BA629" s="83"/>
      <c r="BB629" s="83"/>
      <c r="BC629" s="83"/>
      <c r="BD629" s="83"/>
      <c r="BE629" s="83"/>
      <c r="BF629" s="83"/>
      <c r="BG629" s="83"/>
      <c r="BH629" s="83"/>
      <c r="BI629" s="83"/>
      <c r="BJ629" s="83"/>
      <c r="BK629" s="83" t="s">
        <v>2694</v>
      </c>
      <c r="BL629" s="83" t="s">
        <v>2704</v>
      </c>
      <c r="BM629" s="83" t="s">
        <v>2698</v>
      </c>
      <c r="BN629" s="83" t="s">
        <v>2698</v>
      </c>
      <c r="BO629" s="83" t="s">
        <v>2697</v>
      </c>
      <c r="BP629" s="83" t="s">
        <v>2695</v>
      </c>
      <c r="BQ629" s="83" t="s">
        <v>2699</v>
      </c>
      <c r="BR629" s="83" t="s">
        <v>2693</v>
      </c>
      <c r="BS629" s="83" t="s">
        <v>2699</v>
      </c>
      <c r="BT629" s="83" t="s">
        <v>2696</v>
      </c>
      <c r="BU629" s="83" t="s">
        <v>2699</v>
      </c>
      <c r="BV629" s="83" t="s">
        <v>2697</v>
      </c>
      <c r="BW629" s="83" t="s">
        <v>2698</v>
      </c>
      <c r="BX629" s="83" t="s">
        <v>2696</v>
      </c>
      <c r="BY629" s="83" t="s">
        <v>2699</v>
      </c>
      <c r="BZ629" s="83" t="s">
        <v>2699</v>
      </c>
      <c r="CA629" s="83" t="s">
        <v>2693</v>
      </c>
      <c r="CB629" s="83" t="s">
        <v>2694</v>
      </c>
      <c r="CC629" s="83" t="s">
        <v>2696</v>
      </c>
      <c r="CD629" s="83" t="s">
        <v>2696</v>
      </c>
      <c r="CE629" s="83"/>
      <c r="CF629" s="83" t="s">
        <v>848</v>
      </c>
      <c r="CG629" s="83" t="s">
        <v>849</v>
      </c>
      <c r="CH629" s="83" t="s">
        <v>2693</v>
      </c>
      <c r="CI629" s="83" t="s">
        <v>3992</v>
      </c>
      <c r="CJ629" s="83" t="s">
        <v>2701</v>
      </c>
      <c r="CK629" s="144">
        <v>0</v>
      </c>
      <c r="CL629"/>
    </row>
    <row r="630" spans="1:90">
      <c r="A630" s="83" t="s">
        <v>799</v>
      </c>
      <c r="B630" s="83" t="s">
        <v>915</v>
      </c>
      <c r="D630" s="83" t="s">
        <v>846</v>
      </c>
      <c r="E630" s="83" t="s">
        <v>3541</v>
      </c>
      <c r="F630" s="83" t="s">
        <v>3425</v>
      </c>
      <c r="G630" s="83" t="s">
        <v>1155</v>
      </c>
      <c r="H630" s="83" t="s">
        <v>1201</v>
      </c>
      <c r="I630" s="83" t="s">
        <v>1202</v>
      </c>
      <c r="J630" s="83" t="s">
        <v>1203</v>
      </c>
      <c r="K630" s="83" t="s">
        <v>565</v>
      </c>
      <c r="L630" s="83" t="s">
        <v>398</v>
      </c>
      <c r="M630" s="83" t="s">
        <v>399</v>
      </c>
      <c r="N630" s="83" t="s">
        <v>3057</v>
      </c>
      <c r="O630" s="83" t="s">
        <v>106</v>
      </c>
      <c r="P630" s="83">
        <v>4</v>
      </c>
      <c r="Q630" s="83" t="s">
        <v>106</v>
      </c>
      <c r="R630" s="83" t="s">
        <v>2799</v>
      </c>
      <c r="S630" s="83" t="s">
        <v>1463</v>
      </c>
      <c r="T630" s="83" t="s">
        <v>2703</v>
      </c>
      <c r="U630" s="83" t="s">
        <v>401</v>
      </c>
      <c r="AC630" s="83" t="s">
        <v>401</v>
      </c>
      <c r="AD630" s="83">
        <v>11000</v>
      </c>
      <c r="AF630" s="83">
        <v>2000</v>
      </c>
      <c r="AJ630" s="83">
        <v>1</v>
      </c>
      <c r="AK630" s="83">
        <v>1</v>
      </c>
      <c r="AL630" s="83">
        <v>168</v>
      </c>
      <c r="AM630" s="83" t="s">
        <v>2693</v>
      </c>
      <c r="BK630" s="83" t="s">
        <v>2694</v>
      </c>
      <c r="BL630" s="83" t="s">
        <v>2704</v>
      </c>
      <c r="BM630" s="83" t="s">
        <v>2697</v>
      </c>
      <c r="BN630" s="83" t="s">
        <v>2698</v>
      </c>
      <c r="BO630" s="83" t="s">
        <v>2697</v>
      </c>
      <c r="BP630" s="83" t="s">
        <v>2695</v>
      </c>
      <c r="BQ630" s="83" t="s">
        <v>2699</v>
      </c>
      <c r="BR630" s="83" t="s">
        <v>2693</v>
      </c>
      <c r="BS630" s="83" t="s">
        <v>2699</v>
      </c>
      <c r="BT630" s="83" t="s">
        <v>2696</v>
      </c>
      <c r="BU630" s="83" t="s">
        <v>2699</v>
      </c>
      <c r="BV630" s="83" t="s">
        <v>2697</v>
      </c>
      <c r="BW630" s="83" t="s">
        <v>2698</v>
      </c>
      <c r="BX630" s="83" t="s">
        <v>2696</v>
      </c>
      <c r="BY630" s="83" t="s">
        <v>2699</v>
      </c>
      <c r="BZ630" s="83" t="s">
        <v>2699</v>
      </c>
      <c r="CA630" s="83" t="s">
        <v>2693</v>
      </c>
      <c r="CB630" s="83" t="s">
        <v>2694</v>
      </c>
      <c r="CC630" s="83" t="s">
        <v>2696</v>
      </c>
      <c r="CD630" s="83" t="s">
        <v>2696</v>
      </c>
      <c r="CF630" s="83" t="s">
        <v>836</v>
      </c>
      <c r="CG630" s="83" t="s">
        <v>867</v>
      </c>
      <c r="CH630" s="83" t="s">
        <v>2693</v>
      </c>
      <c r="CI630" s="83" t="s">
        <v>3992</v>
      </c>
      <c r="CJ630" s="83" t="s">
        <v>2701</v>
      </c>
      <c r="CK630" s="144">
        <v>0</v>
      </c>
      <c r="CL630"/>
    </row>
    <row r="631" spans="1:90">
      <c r="A631" s="83" t="s">
        <v>799</v>
      </c>
      <c r="B631" s="83" t="s">
        <v>915</v>
      </c>
      <c r="D631" s="83" t="s">
        <v>850</v>
      </c>
      <c r="E631" s="83" t="s">
        <v>851</v>
      </c>
      <c r="F631" s="83" t="s">
        <v>3425</v>
      </c>
      <c r="G631" s="83" t="s">
        <v>1155</v>
      </c>
      <c r="H631" s="83" t="s">
        <v>1201</v>
      </c>
      <c r="I631" s="83" t="s">
        <v>1202</v>
      </c>
      <c r="J631" s="83" t="s">
        <v>1203</v>
      </c>
      <c r="K631" s="83" t="s">
        <v>565</v>
      </c>
      <c r="L631" s="83" t="s">
        <v>398</v>
      </c>
      <c r="M631" s="83" t="s">
        <v>399</v>
      </c>
      <c r="N631" s="83" t="s">
        <v>3057</v>
      </c>
      <c r="O631" s="83" t="s">
        <v>106</v>
      </c>
      <c r="P631" s="83">
        <v>4</v>
      </c>
      <c r="Q631" s="83" t="s">
        <v>106</v>
      </c>
      <c r="R631" s="83" t="s">
        <v>2799</v>
      </c>
      <c r="S631" s="83" t="s">
        <v>1463</v>
      </c>
      <c r="T631" s="83" t="s">
        <v>2703</v>
      </c>
      <c r="U631" s="83" t="s">
        <v>401</v>
      </c>
      <c r="AC631" s="83" t="s">
        <v>401</v>
      </c>
      <c r="AD631" s="83">
        <v>27000</v>
      </c>
      <c r="AF631" s="83">
        <v>7000</v>
      </c>
      <c r="AJ631" s="83">
        <v>1</v>
      </c>
      <c r="AK631" s="83">
        <v>1</v>
      </c>
      <c r="AL631" s="83">
        <v>576</v>
      </c>
      <c r="AM631" s="83" t="s">
        <v>2693</v>
      </c>
      <c r="BK631" s="83" t="s">
        <v>2694</v>
      </c>
      <c r="BL631" s="83" t="s">
        <v>2704</v>
      </c>
      <c r="BM631" s="83" t="s">
        <v>2698</v>
      </c>
      <c r="BN631" s="83" t="s">
        <v>2698</v>
      </c>
      <c r="BO631" s="83" t="s">
        <v>2697</v>
      </c>
      <c r="BP631" s="83" t="s">
        <v>2695</v>
      </c>
      <c r="BQ631" s="83" t="s">
        <v>2699</v>
      </c>
      <c r="BR631" s="83" t="s">
        <v>2693</v>
      </c>
      <c r="BS631" s="83" t="s">
        <v>2699</v>
      </c>
      <c r="BT631" s="83" t="s">
        <v>2696</v>
      </c>
      <c r="BU631" s="83" t="s">
        <v>2699</v>
      </c>
      <c r="BV631" s="83" t="s">
        <v>2697</v>
      </c>
      <c r="BW631" s="83" t="s">
        <v>2698</v>
      </c>
      <c r="BX631" s="83" t="s">
        <v>2696</v>
      </c>
      <c r="BY631" s="83" t="s">
        <v>2699</v>
      </c>
      <c r="BZ631" s="83" t="s">
        <v>2699</v>
      </c>
      <c r="CA631" s="83" t="s">
        <v>2693</v>
      </c>
      <c r="CB631" s="83" t="s">
        <v>2694</v>
      </c>
      <c r="CC631" s="83" t="s">
        <v>2696</v>
      </c>
      <c r="CD631" s="83" t="s">
        <v>2696</v>
      </c>
      <c r="CF631" s="83" t="s">
        <v>852</v>
      </c>
      <c r="CG631" s="83" t="s">
        <v>853</v>
      </c>
      <c r="CH631" s="83" t="s">
        <v>2693</v>
      </c>
      <c r="CI631" s="83" t="s">
        <v>3992</v>
      </c>
      <c r="CJ631" s="83" t="s">
        <v>2701</v>
      </c>
      <c r="CK631" s="144">
        <v>0</v>
      </c>
      <c r="CL631"/>
    </row>
    <row r="632" spans="1:90">
      <c r="A632" s="83" t="s">
        <v>799</v>
      </c>
      <c r="B632" s="83" t="s">
        <v>915</v>
      </c>
      <c r="D632" s="83" t="s">
        <v>854</v>
      </c>
      <c r="E632" s="83" t="s">
        <v>855</v>
      </c>
      <c r="F632" s="83" t="s">
        <v>3425</v>
      </c>
      <c r="G632" s="83" t="s">
        <v>1155</v>
      </c>
      <c r="H632" s="83" t="s">
        <v>1201</v>
      </c>
      <c r="I632" s="83" t="s">
        <v>1202</v>
      </c>
      <c r="J632" s="83" t="s">
        <v>1203</v>
      </c>
      <c r="K632" s="83" t="s">
        <v>565</v>
      </c>
      <c r="L632" s="83" t="s">
        <v>398</v>
      </c>
      <c r="M632" s="83" t="s">
        <v>399</v>
      </c>
      <c r="N632" s="83" t="s">
        <v>3057</v>
      </c>
      <c r="O632" s="83" t="s">
        <v>106</v>
      </c>
      <c r="P632" s="83">
        <v>4</v>
      </c>
      <c r="Q632" s="83" t="s">
        <v>106</v>
      </c>
      <c r="R632" s="83" t="s">
        <v>2799</v>
      </c>
      <c r="S632" s="83" t="s">
        <v>1463</v>
      </c>
      <c r="T632" s="83" t="s">
        <v>2703</v>
      </c>
      <c r="U632" s="83" t="s">
        <v>401</v>
      </c>
      <c r="AC632" s="83" t="s">
        <v>401</v>
      </c>
      <c r="AD632" s="83">
        <v>27000</v>
      </c>
      <c r="AF632" s="83">
        <v>7000</v>
      </c>
      <c r="AJ632" s="83">
        <v>1</v>
      </c>
      <c r="AK632" s="83">
        <v>1</v>
      </c>
      <c r="AL632" s="83">
        <v>576</v>
      </c>
      <c r="AM632" s="83" t="s">
        <v>2693</v>
      </c>
      <c r="BK632" s="83" t="s">
        <v>2694</v>
      </c>
      <c r="BL632" s="83" t="s">
        <v>2704</v>
      </c>
      <c r="BM632" s="83" t="s">
        <v>2698</v>
      </c>
      <c r="BN632" s="83" t="s">
        <v>2698</v>
      </c>
      <c r="BO632" s="83" t="s">
        <v>2697</v>
      </c>
      <c r="BP632" s="83" t="s">
        <v>2695</v>
      </c>
      <c r="BQ632" s="83" t="s">
        <v>2699</v>
      </c>
      <c r="BR632" s="83" t="s">
        <v>2693</v>
      </c>
      <c r="BS632" s="83" t="s">
        <v>2699</v>
      </c>
      <c r="BT632" s="83" t="s">
        <v>2696</v>
      </c>
      <c r="BU632" s="83" t="s">
        <v>2699</v>
      </c>
      <c r="BV632" s="83" t="s">
        <v>2697</v>
      </c>
      <c r="BW632" s="83" t="s">
        <v>2698</v>
      </c>
      <c r="BX632" s="83" t="s">
        <v>2696</v>
      </c>
      <c r="BY632" s="83" t="s">
        <v>2699</v>
      </c>
      <c r="BZ632" s="83" t="s">
        <v>2699</v>
      </c>
      <c r="CA632" s="83" t="s">
        <v>2693</v>
      </c>
      <c r="CB632" s="83" t="s">
        <v>2694</v>
      </c>
      <c r="CC632" s="83" t="s">
        <v>2696</v>
      </c>
      <c r="CD632" s="83" t="s">
        <v>2696</v>
      </c>
      <c r="CF632" s="83" t="s">
        <v>856</v>
      </c>
      <c r="CG632" s="83" t="s">
        <v>853</v>
      </c>
      <c r="CH632" s="83" t="s">
        <v>2693</v>
      </c>
      <c r="CI632" s="83" t="s">
        <v>3992</v>
      </c>
      <c r="CJ632" s="83" t="s">
        <v>2701</v>
      </c>
      <c r="CK632" s="144">
        <v>0</v>
      </c>
      <c r="CL632"/>
    </row>
    <row r="633" spans="1:90">
      <c r="A633" s="83" t="s">
        <v>799</v>
      </c>
      <c r="B633" s="83" t="s">
        <v>915</v>
      </c>
      <c r="D633" s="83" t="s">
        <v>866</v>
      </c>
      <c r="E633" s="83" t="s">
        <v>2426</v>
      </c>
      <c r="F633" s="83" t="s">
        <v>3425</v>
      </c>
      <c r="G633" s="83" t="s">
        <v>1155</v>
      </c>
      <c r="H633" s="83" t="s">
        <v>1201</v>
      </c>
      <c r="I633" s="83" t="s">
        <v>1202</v>
      </c>
      <c r="J633" s="83" t="s">
        <v>1203</v>
      </c>
      <c r="K633" s="83" t="s">
        <v>565</v>
      </c>
      <c r="L633" s="83" t="s">
        <v>398</v>
      </c>
      <c r="M633" s="83" t="s">
        <v>399</v>
      </c>
      <c r="N633" s="83" t="s">
        <v>3057</v>
      </c>
      <c r="O633" s="83" t="s">
        <v>106</v>
      </c>
      <c r="P633" s="83">
        <v>9</v>
      </c>
      <c r="Q633" s="83" t="s">
        <v>106</v>
      </c>
      <c r="R633" s="83" t="s">
        <v>2799</v>
      </c>
      <c r="S633" s="83" t="s">
        <v>2843</v>
      </c>
      <c r="T633" s="83" t="s">
        <v>2703</v>
      </c>
      <c r="U633" s="83" t="s">
        <v>401</v>
      </c>
      <c r="AC633" s="83" t="s">
        <v>401</v>
      </c>
      <c r="AD633" s="83">
        <v>6000</v>
      </c>
      <c r="AF633" s="83">
        <v>4000</v>
      </c>
      <c r="AJ633" s="83">
        <v>1</v>
      </c>
      <c r="AK633" s="83">
        <v>1</v>
      </c>
      <c r="AL633" s="83">
        <v>300</v>
      </c>
      <c r="AM633" s="83" t="s">
        <v>2693</v>
      </c>
      <c r="BK633" s="83" t="s">
        <v>2694</v>
      </c>
      <c r="BL633" s="83" t="s">
        <v>2693</v>
      </c>
      <c r="BM633" s="83" t="s">
        <v>2698</v>
      </c>
      <c r="BN633" s="83" t="s">
        <v>2698</v>
      </c>
      <c r="BO633" s="83" t="s">
        <v>2697</v>
      </c>
      <c r="BP633" s="83" t="s">
        <v>2697</v>
      </c>
      <c r="BQ633" s="83" t="s">
        <v>2699</v>
      </c>
      <c r="BR633" s="83" t="s">
        <v>2693</v>
      </c>
      <c r="BS633" s="83" t="s">
        <v>2699</v>
      </c>
      <c r="BT633" s="83" t="s">
        <v>2696</v>
      </c>
      <c r="BU633" s="83" t="s">
        <v>2699</v>
      </c>
      <c r="BV633" s="83" t="s">
        <v>2697</v>
      </c>
      <c r="BW633" s="83" t="s">
        <v>2693</v>
      </c>
      <c r="BX633" s="83" t="s">
        <v>2696</v>
      </c>
      <c r="BY633" s="83" t="s">
        <v>2693</v>
      </c>
      <c r="BZ633" s="83" t="s">
        <v>2699</v>
      </c>
      <c r="CA633" s="83" t="s">
        <v>2693</v>
      </c>
      <c r="CB633" s="83" t="s">
        <v>2694</v>
      </c>
      <c r="CC633" s="83" t="s">
        <v>2696</v>
      </c>
      <c r="CD633" s="83" t="s">
        <v>2696</v>
      </c>
      <c r="CF633" s="83" t="s">
        <v>815</v>
      </c>
      <c r="CG633" s="83" t="s">
        <v>816</v>
      </c>
      <c r="CH633" s="83" t="s">
        <v>2697</v>
      </c>
      <c r="CI633" s="83" t="s">
        <v>648</v>
      </c>
      <c r="CJ633" s="83" t="s">
        <v>2757</v>
      </c>
      <c r="CK633" s="144">
        <v>0</v>
      </c>
      <c r="CL633"/>
    </row>
    <row r="634" spans="1:90">
      <c r="A634" s="83" t="s">
        <v>799</v>
      </c>
      <c r="B634" s="83" t="s">
        <v>915</v>
      </c>
      <c r="D634" s="83" t="s">
        <v>814</v>
      </c>
      <c r="E634" s="83" t="s">
        <v>3542</v>
      </c>
      <c r="F634" s="83" t="s">
        <v>3425</v>
      </c>
      <c r="G634" s="83" t="s">
        <v>1155</v>
      </c>
      <c r="H634" s="83" t="s">
        <v>1201</v>
      </c>
      <c r="I634" s="83" t="s">
        <v>1202</v>
      </c>
      <c r="J634" s="83" t="s">
        <v>1203</v>
      </c>
      <c r="K634" s="83" t="s">
        <v>565</v>
      </c>
      <c r="L634" s="83" t="s">
        <v>398</v>
      </c>
      <c r="M634" s="83" t="s">
        <v>399</v>
      </c>
      <c r="N634" s="83" t="s">
        <v>3057</v>
      </c>
      <c r="O634" s="83" t="s">
        <v>106</v>
      </c>
      <c r="P634" s="83">
        <v>1</v>
      </c>
      <c r="Q634" s="83" t="s">
        <v>106</v>
      </c>
      <c r="R634" s="83" t="s">
        <v>2799</v>
      </c>
      <c r="S634" s="83" t="s">
        <v>1463</v>
      </c>
      <c r="T634" s="83" t="s">
        <v>2703</v>
      </c>
      <c r="U634" s="83" t="s">
        <v>401</v>
      </c>
      <c r="AC634" s="83" t="s">
        <v>401</v>
      </c>
      <c r="AD634" s="83">
        <v>79000</v>
      </c>
      <c r="AF634" s="83">
        <v>4000</v>
      </c>
      <c r="AJ634" s="83">
        <v>1</v>
      </c>
      <c r="AK634" s="83">
        <v>1</v>
      </c>
      <c r="AL634" s="83">
        <v>1152</v>
      </c>
      <c r="AM634" s="83" t="s">
        <v>2693</v>
      </c>
      <c r="BK634" s="83" t="s">
        <v>2694</v>
      </c>
      <c r="BL634" s="83" t="s">
        <v>2704</v>
      </c>
      <c r="BM634" s="83" t="s">
        <v>2698</v>
      </c>
      <c r="BN634" s="83" t="s">
        <v>2696</v>
      </c>
      <c r="BO634" s="83" t="s">
        <v>2697</v>
      </c>
      <c r="BP634" s="83" t="s">
        <v>2698</v>
      </c>
      <c r="BQ634" s="83" t="s">
        <v>2699</v>
      </c>
      <c r="BR634" s="83" t="s">
        <v>2693</v>
      </c>
      <c r="BS634" s="83" t="s">
        <v>2699</v>
      </c>
      <c r="BT634" s="83" t="s">
        <v>2696</v>
      </c>
      <c r="BU634" s="83" t="s">
        <v>2699</v>
      </c>
      <c r="BV634" s="83" t="s">
        <v>2697</v>
      </c>
      <c r="BW634" s="83" t="s">
        <v>2697</v>
      </c>
      <c r="BX634" s="83" t="s">
        <v>2696</v>
      </c>
      <c r="BY634" s="83" t="s">
        <v>2693</v>
      </c>
      <c r="BZ634" s="83" t="s">
        <v>2699</v>
      </c>
      <c r="CA634" s="83" t="s">
        <v>2693</v>
      </c>
      <c r="CB634" s="83" t="s">
        <v>2694</v>
      </c>
      <c r="CC634" s="83" t="s">
        <v>2696</v>
      </c>
      <c r="CD634" s="83" t="s">
        <v>2696</v>
      </c>
      <c r="CF634" s="83" t="s">
        <v>812</v>
      </c>
      <c r="CG634" s="83" t="s">
        <v>813</v>
      </c>
      <c r="CH634" s="83" t="s">
        <v>2699</v>
      </c>
      <c r="CI634" s="83" t="s">
        <v>2699</v>
      </c>
      <c r="CJ634" s="83" t="s">
        <v>2734</v>
      </c>
      <c r="CK634" s="144">
        <v>0</v>
      </c>
      <c r="CL634"/>
    </row>
    <row r="635" spans="1:90">
      <c r="A635" s="83" t="s">
        <v>799</v>
      </c>
      <c r="B635" s="83" t="s">
        <v>915</v>
      </c>
      <c r="D635" s="83" t="s">
        <v>800</v>
      </c>
      <c r="E635" s="83" t="s">
        <v>801</v>
      </c>
      <c r="F635" s="83" t="s">
        <v>3425</v>
      </c>
      <c r="G635" s="83" t="s">
        <v>1155</v>
      </c>
      <c r="H635" s="83" t="s">
        <v>1201</v>
      </c>
      <c r="I635" s="83" t="s">
        <v>1202</v>
      </c>
      <c r="J635" s="83" t="s">
        <v>1203</v>
      </c>
      <c r="K635" s="83" t="s">
        <v>565</v>
      </c>
      <c r="L635" s="83" t="s">
        <v>398</v>
      </c>
      <c r="M635" s="83" t="s">
        <v>399</v>
      </c>
      <c r="N635" s="83" t="s">
        <v>3057</v>
      </c>
      <c r="O635" s="83" t="s">
        <v>106</v>
      </c>
      <c r="P635" s="83">
        <v>9</v>
      </c>
      <c r="Q635" s="83" t="s">
        <v>106</v>
      </c>
      <c r="R635" s="83" t="s">
        <v>2799</v>
      </c>
      <c r="S635" s="83" t="s">
        <v>1463</v>
      </c>
      <c r="T635" s="83" t="s">
        <v>2703</v>
      </c>
      <c r="U635" s="83" t="s">
        <v>401</v>
      </c>
      <c r="AC635" s="83" t="s">
        <v>401</v>
      </c>
      <c r="AD635" s="83">
        <v>263000</v>
      </c>
      <c r="AF635" s="83">
        <v>0</v>
      </c>
      <c r="AJ635" s="83">
        <v>1</v>
      </c>
      <c r="AK635" s="83">
        <v>1</v>
      </c>
      <c r="AL635" s="83">
        <v>5063</v>
      </c>
      <c r="AM635" s="83" t="s">
        <v>2693</v>
      </c>
      <c r="BK635" s="83" t="s">
        <v>2694</v>
      </c>
      <c r="BL635" s="83" t="s">
        <v>2693</v>
      </c>
      <c r="BM635" s="83" t="s">
        <v>2698</v>
      </c>
      <c r="BN635" s="83" t="s">
        <v>2698</v>
      </c>
      <c r="BO635" s="83" t="s">
        <v>2697</v>
      </c>
      <c r="BP635" s="83" t="s">
        <v>2697</v>
      </c>
      <c r="BQ635" s="83" t="s">
        <v>2699</v>
      </c>
      <c r="BR635" s="83" t="s">
        <v>2693</v>
      </c>
      <c r="BS635" s="83" t="s">
        <v>2699</v>
      </c>
      <c r="BT635" s="83" t="s">
        <v>2696</v>
      </c>
      <c r="BU635" s="83" t="s">
        <v>2699</v>
      </c>
      <c r="BV635" s="83" t="s">
        <v>2697</v>
      </c>
      <c r="BW635" s="83" t="s">
        <v>2693</v>
      </c>
      <c r="BX635" s="83" t="s">
        <v>2696</v>
      </c>
      <c r="BY635" s="83" t="s">
        <v>2699</v>
      </c>
      <c r="BZ635" s="83" t="s">
        <v>2699</v>
      </c>
      <c r="CA635" s="83" t="s">
        <v>2693</v>
      </c>
      <c r="CB635" s="83" t="s">
        <v>2694</v>
      </c>
      <c r="CC635" s="83" t="s">
        <v>2696</v>
      </c>
      <c r="CD635" s="83" t="s">
        <v>2696</v>
      </c>
      <c r="CF635" s="83" t="s">
        <v>802</v>
      </c>
      <c r="CG635" s="83" t="s">
        <v>803</v>
      </c>
      <c r="CH635" s="83" t="s">
        <v>2697</v>
      </c>
      <c r="CI635" s="83" t="s">
        <v>648</v>
      </c>
      <c r="CJ635" s="83" t="s">
        <v>2757</v>
      </c>
      <c r="CK635" s="144">
        <v>0</v>
      </c>
      <c r="CL635"/>
    </row>
    <row r="636" spans="1:90">
      <c r="A636" s="83" t="s">
        <v>3543</v>
      </c>
      <c r="B636" s="83" t="s">
        <v>3544</v>
      </c>
      <c r="D636" s="83" t="s">
        <v>688</v>
      </c>
      <c r="E636" s="83" t="s">
        <v>790</v>
      </c>
      <c r="F636" s="83" t="s">
        <v>3425</v>
      </c>
      <c r="G636" s="83" t="s">
        <v>1155</v>
      </c>
      <c r="H636" s="83" t="s">
        <v>1201</v>
      </c>
      <c r="I636" s="83" t="s">
        <v>1202</v>
      </c>
      <c r="J636" s="83" t="s">
        <v>1203</v>
      </c>
      <c r="K636" s="83" t="s">
        <v>565</v>
      </c>
      <c r="L636" s="83" t="s">
        <v>398</v>
      </c>
      <c r="M636" s="83" t="s">
        <v>399</v>
      </c>
      <c r="N636" s="83" t="s">
        <v>3057</v>
      </c>
      <c r="O636" s="83" t="s">
        <v>106</v>
      </c>
      <c r="P636" s="83">
        <v>4</v>
      </c>
      <c r="Q636" s="83" t="s">
        <v>106</v>
      </c>
      <c r="R636" s="83" t="s">
        <v>2799</v>
      </c>
      <c r="S636" s="83" t="s">
        <v>1463</v>
      </c>
      <c r="T636" s="83" t="s">
        <v>2703</v>
      </c>
      <c r="U636" s="83" t="s">
        <v>401</v>
      </c>
      <c r="AC636" s="83" t="s">
        <v>401</v>
      </c>
      <c r="AD636" s="83">
        <v>85000</v>
      </c>
      <c r="AF636" s="83">
        <v>71000</v>
      </c>
      <c r="AJ636" s="83">
        <v>1</v>
      </c>
      <c r="AK636" s="83">
        <v>2</v>
      </c>
      <c r="AL636" s="83">
        <v>2515</v>
      </c>
      <c r="AM636" s="83" t="s">
        <v>2693</v>
      </c>
      <c r="BK636" s="83" t="s">
        <v>2694</v>
      </c>
      <c r="BL636" s="83" t="s">
        <v>2704</v>
      </c>
      <c r="BM636" s="83" t="s">
        <v>2697</v>
      </c>
      <c r="BN636" s="83" t="s">
        <v>2698</v>
      </c>
      <c r="BO636" s="83" t="s">
        <v>2697</v>
      </c>
      <c r="BP636" s="83" t="s">
        <v>2695</v>
      </c>
      <c r="BQ636" s="83" t="s">
        <v>2699</v>
      </c>
      <c r="BR636" s="83" t="s">
        <v>2693</v>
      </c>
      <c r="BS636" s="83" t="s">
        <v>2699</v>
      </c>
      <c r="BT636" s="83" t="s">
        <v>2696</v>
      </c>
      <c r="BU636" s="83" t="s">
        <v>2699</v>
      </c>
      <c r="BV636" s="83" t="s">
        <v>2697</v>
      </c>
      <c r="BW636" s="83" t="s">
        <v>2698</v>
      </c>
      <c r="BX636" s="83" t="s">
        <v>2696</v>
      </c>
      <c r="BY636" s="83" t="s">
        <v>2699</v>
      </c>
      <c r="BZ636" s="83" t="s">
        <v>2699</v>
      </c>
      <c r="CA636" s="83" t="s">
        <v>2693</v>
      </c>
      <c r="CB636" s="83" t="s">
        <v>2694</v>
      </c>
      <c r="CC636" s="83" t="s">
        <v>2699</v>
      </c>
      <c r="CD636" s="83" t="s">
        <v>2696</v>
      </c>
      <c r="CF636" s="83" t="s">
        <v>791</v>
      </c>
      <c r="CG636" s="83" t="s">
        <v>792</v>
      </c>
      <c r="CH636" s="83" t="s">
        <v>2693</v>
      </c>
      <c r="CI636" s="83" t="s">
        <v>3992</v>
      </c>
      <c r="CJ636" s="83" t="s">
        <v>2701</v>
      </c>
      <c r="CK636" s="144">
        <v>0</v>
      </c>
      <c r="CL636" s="99">
        <v>135000</v>
      </c>
    </row>
    <row r="637" spans="1:90">
      <c r="A637" s="83" t="s">
        <v>3545</v>
      </c>
      <c r="B637" s="83" t="s">
        <v>3546</v>
      </c>
      <c r="D637" s="83" t="s">
        <v>688</v>
      </c>
      <c r="E637" s="83" t="s">
        <v>771</v>
      </c>
      <c r="F637" s="83" t="s">
        <v>3425</v>
      </c>
      <c r="G637" s="83" t="s">
        <v>1155</v>
      </c>
      <c r="H637" s="83" t="s">
        <v>1201</v>
      </c>
      <c r="I637" s="83" t="s">
        <v>1202</v>
      </c>
      <c r="J637" s="83" t="s">
        <v>1203</v>
      </c>
      <c r="K637" s="83" t="s">
        <v>565</v>
      </c>
      <c r="L637" s="83" t="s">
        <v>398</v>
      </c>
      <c r="M637" s="83" t="s">
        <v>399</v>
      </c>
      <c r="N637" s="83" t="s">
        <v>3057</v>
      </c>
      <c r="O637" s="83" t="s">
        <v>106</v>
      </c>
      <c r="P637" s="83">
        <v>1</v>
      </c>
      <c r="Q637" s="83" t="s">
        <v>106</v>
      </c>
      <c r="R637" s="83" t="s">
        <v>2799</v>
      </c>
      <c r="S637" s="83" t="s">
        <v>2793</v>
      </c>
      <c r="T637" s="83" t="s">
        <v>2703</v>
      </c>
      <c r="U637" s="83" t="s">
        <v>401</v>
      </c>
      <c r="AC637" s="83" t="s">
        <v>401</v>
      </c>
      <c r="AD637" s="83">
        <v>102000</v>
      </c>
      <c r="AF637" s="83">
        <v>1000</v>
      </c>
      <c r="AJ637" s="83">
        <v>1</v>
      </c>
      <c r="AK637" s="83">
        <v>1</v>
      </c>
      <c r="AL637" s="83">
        <v>80</v>
      </c>
      <c r="AM637" s="83" t="s">
        <v>2693</v>
      </c>
      <c r="BK637" s="83" t="s">
        <v>2694</v>
      </c>
      <c r="BL637" s="83" t="s">
        <v>2704</v>
      </c>
      <c r="BM637" s="83" t="s">
        <v>2698</v>
      </c>
      <c r="BN637" s="83" t="s">
        <v>2696</v>
      </c>
      <c r="BO637" s="83" t="s">
        <v>2697</v>
      </c>
      <c r="BP637" s="83" t="s">
        <v>2698</v>
      </c>
      <c r="BQ637" s="83" t="s">
        <v>2699</v>
      </c>
      <c r="BR637" s="83" t="s">
        <v>2693</v>
      </c>
      <c r="BS637" s="83" t="s">
        <v>2699</v>
      </c>
      <c r="BT637" s="83" t="s">
        <v>2696</v>
      </c>
      <c r="BU637" s="83" t="s">
        <v>2699</v>
      </c>
      <c r="BV637" s="83" t="s">
        <v>2697</v>
      </c>
      <c r="BW637" s="83" t="s">
        <v>2697</v>
      </c>
      <c r="BX637" s="83" t="s">
        <v>2696</v>
      </c>
      <c r="BY637" s="83" t="s">
        <v>2699</v>
      </c>
      <c r="BZ637" s="83" t="s">
        <v>2699</v>
      </c>
      <c r="CA637" s="83" t="s">
        <v>2693</v>
      </c>
      <c r="CB637" s="83" t="s">
        <v>2694</v>
      </c>
      <c r="CC637" s="83" t="s">
        <v>2696</v>
      </c>
      <c r="CD637" s="83" t="s">
        <v>2696</v>
      </c>
      <c r="CF637" s="83" t="s">
        <v>772</v>
      </c>
      <c r="CG637" s="83" t="s">
        <v>773</v>
      </c>
      <c r="CH637" s="83" t="s">
        <v>2699</v>
      </c>
      <c r="CI637" s="83" t="s">
        <v>2699</v>
      </c>
      <c r="CJ637" s="83" t="s">
        <v>2734</v>
      </c>
      <c r="CK637" s="144">
        <v>0</v>
      </c>
      <c r="CL637"/>
    </row>
    <row r="638" spans="1:90">
      <c r="A638" s="83" t="s">
        <v>2857</v>
      </c>
      <c r="B638" s="83" t="s">
        <v>2477</v>
      </c>
      <c r="D638" s="83" t="s">
        <v>688</v>
      </c>
      <c r="E638" s="83" t="s">
        <v>2477</v>
      </c>
      <c r="F638" s="83" t="s">
        <v>2699</v>
      </c>
      <c r="G638" s="83" t="s">
        <v>2263</v>
      </c>
      <c r="H638" s="83" t="s">
        <v>1201</v>
      </c>
      <c r="I638" s="83" t="s">
        <v>1202</v>
      </c>
      <c r="J638" s="83" t="s">
        <v>1203</v>
      </c>
      <c r="K638" s="83" t="s">
        <v>565</v>
      </c>
      <c r="L638" s="83" t="s">
        <v>398</v>
      </c>
      <c r="M638" s="83" t="s">
        <v>399</v>
      </c>
      <c r="N638" s="83" t="s">
        <v>2752</v>
      </c>
      <c r="O638" s="83" t="s">
        <v>106</v>
      </c>
      <c r="P638" s="83">
        <v>8</v>
      </c>
      <c r="Q638" s="83" t="s">
        <v>106</v>
      </c>
      <c r="R638" s="83" t="s">
        <v>2699</v>
      </c>
      <c r="S638" s="83" t="s">
        <v>2858</v>
      </c>
      <c r="T638" s="83" t="s">
        <v>2843</v>
      </c>
      <c r="U638" s="83" t="s">
        <v>401</v>
      </c>
      <c r="AC638" s="83" t="s">
        <v>401</v>
      </c>
      <c r="AD638" s="83">
        <v>7702000</v>
      </c>
      <c r="AF638" s="83">
        <v>913000</v>
      </c>
      <c r="AJ638" s="83">
        <v>1</v>
      </c>
      <c r="AK638" s="83">
        <v>3</v>
      </c>
      <c r="AL638" s="83">
        <v>44082</v>
      </c>
      <c r="AM638" s="83" t="s">
        <v>2693</v>
      </c>
      <c r="BK638" s="83" t="s">
        <v>2694</v>
      </c>
      <c r="BL638" s="83" t="s">
        <v>2698</v>
      </c>
      <c r="BM638" s="83" t="s">
        <v>2699</v>
      </c>
      <c r="BN638" s="83" t="s">
        <v>2698</v>
      </c>
      <c r="BO638" s="83" t="s">
        <v>2697</v>
      </c>
      <c r="BP638" s="83" t="s">
        <v>2697</v>
      </c>
      <c r="BQ638" s="83" t="s">
        <v>2699</v>
      </c>
      <c r="BR638" s="83" t="s">
        <v>2699</v>
      </c>
      <c r="BS638" s="83" t="s">
        <v>2699</v>
      </c>
      <c r="BT638" s="83" t="s">
        <v>2696</v>
      </c>
      <c r="BU638" s="83" t="s">
        <v>2699</v>
      </c>
      <c r="BV638" s="83" t="s">
        <v>2696</v>
      </c>
      <c r="BW638" s="83" t="s">
        <v>2698</v>
      </c>
      <c r="BX638" s="83" t="s">
        <v>2696</v>
      </c>
      <c r="BY638" s="83" t="s">
        <v>2699</v>
      </c>
      <c r="BZ638" s="83" t="s">
        <v>2693</v>
      </c>
      <c r="CA638" s="83" t="s">
        <v>2693</v>
      </c>
      <c r="CB638" s="83">
        <v>3</v>
      </c>
      <c r="CC638" s="83" t="s">
        <v>2699</v>
      </c>
      <c r="CD638" s="83" t="s">
        <v>2699</v>
      </c>
      <c r="CF638" s="83" t="s">
        <v>2859</v>
      </c>
      <c r="CG638" s="83" t="s">
        <v>1416</v>
      </c>
      <c r="CH638" s="83" t="s">
        <v>2695</v>
      </c>
      <c r="CI638" s="83" t="s">
        <v>648</v>
      </c>
      <c r="CJ638" s="83" t="s">
        <v>2726</v>
      </c>
      <c r="CK638" s="144">
        <v>0</v>
      </c>
      <c r="CL638"/>
    </row>
    <row r="639" spans="1:90">
      <c r="A639" s="79" t="s">
        <v>3786</v>
      </c>
      <c r="B639" s="79" t="s">
        <v>3814</v>
      </c>
      <c r="C639" s="79"/>
      <c r="D639" s="79" t="s">
        <v>688</v>
      </c>
      <c r="E639" s="79" t="s">
        <v>3848</v>
      </c>
      <c r="F639" s="79">
        <v>1830</v>
      </c>
      <c r="G639" s="79" t="s">
        <v>3874</v>
      </c>
      <c r="H639" s="79" t="s">
        <v>1201</v>
      </c>
      <c r="I639" s="79" t="s">
        <v>1202</v>
      </c>
      <c r="J639" s="79" t="s">
        <v>1203</v>
      </c>
      <c r="K639" s="79" t="s">
        <v>565</v>
      </c>
      <c r="L639" s="79" t="s">
        <v>398</v>
      </c>
      <c r="M639" s="79" t="s">
        <v>399</v>
      </c>
      <c r="N639" s="79" t="s">
        <v>2709</v>
      </c>
      <c r="O639" s="79" t="s">
        <v>106</v>
      </c>
      <c r="P639" s="79">
        <v>0</v>
      </c>
      <c r="Q639" s="79" t="s">
        <v>106</v>
      </c>
      <c r="R639" s="79">
        <v>9</v>
      </c>
      <c r="S639" s="90">
        <v>35795</v>
      </c>
      <c r="T639" s="79" t="s">
        <v>2703</v>
      </c>
      <c r="U639" s="79" t="s">
        <v>401</v>
      </c>
      <c r="AC639" s="79" t="s">
        <v>401</v>
      </c>
      <c r="AD639" s="79">
        <v>0</v>
      </c>
      <c r="AE639" s="79"/>
      <c r="AF639" s="79">
        <v>300000</v>
      </c>
      <c r="AG639" s="79"/>
      <c r="AH639" s="79"/>
      <c r="AI639" s="79"/>
      <c r="AJ639" s="79">
        <v>1</v>
      </c>
      <c r="AK639" s="79">
        <v>0</v>
      </c>
      <c r="AL639" s="79">
        <v>0</v>
      </c>
      <c r="AM639" s="79">
        <v>0</v>
      </c>
      <c r="AN639" s="79">
        <v>0</v>
      </c>
      <c r="AO639" s="79">
        <v>0</v>
      </c>
      <c r="AP639" s="79">
        <v>0</v>
      </c>
      <c r="AQ639" s="79">
        <v>0</v>
      </c>
      <c r="AR639" s="79">
        <v>0</v>
      </c>
      <c r="AS639" s="79">
        <v>0</v>
      </c>
      <c r="AT639" s="79">
        <v>0</v>
      </c>
      <c r="AU639" s="79">
        <v>0</v>
      </c>
      <c r="AV639" s="79">
        <v>0</v>
      </c>
      <c r="AW639" s="79">
        <v>0</v>
      </c>
      <c r="AX639" s="79">
        <v>0</v>
      </c>
      <c r="AY639" s="79">
        <v>0</v>
      </c>
      <c r="AZ639" s="79">
        <v>0</v>
      </c>
      <c r="BA639" s="79">
        <v>0</v>
      </c>
      <c r="BB639" s="79">
        <v>0</v>
      </c>
      <c r="BC639" s="79">
        <v>0</v>
      </c>
      <c r="BD639" s="79">
        <v>0</v>
      </c>
      <c r="BE639" s="79">
        <v>0</v>
      </c>
      <c r="BF639" s="79">
        <v>0</v>
      </c>
      <c r="BG639" s="79">
        <v>0</v>
      </c>
      <c r="BH639" s="79">
        <v>0</v>
      </c>
      <c r="BI639" s="79">
        <v>0</v>
      </c>
      <c r="BJ639" s="79">
        <v>0</v>
      </c>
      <c r="BK639" s="79">
        <v>0</v>
      </c>
      <c r="BL639" s="79">
        <v>0</v>
      </c>
      <c r="BM639" s="79">
        <v>0</v>
      </c>
      <c r="BN639" s="79">
        <v>0</v>
      </c>
      <c r="BO639" s="79">
        <v>0</v>
      </c>
      <c r="BP639" s="79">
        <v>0</v>
      </c>
      <c r="BQ639" s="79">
        <v>0</v>
      </c>
      <c r="BR639" s="79">
        <v>0</v>
      </c>
      <c r="BS639" s="79">
        <v>0</v>
      </c>
      <c r="BT639" s="79">
        <v>0</v>
      </c>
      <c r="BU639" s="79">
        <v>0</v>
      </c>
      <c r="BV639" s="79">
        <v>0</v>
      </c>
      <c r="BW639" s="79">
        <v>0</v>
      </c>
      <c r="BX639" s="79">
        <v>0</v>
      </c>
      <c r="BY639" s="79">
        <v>0</v>
      </c>
      <c r="BZ639" s="79">
        <v>0</v>
      </c>
      <c r="CA639" s="79">
        <v>0</v>
      </c>
      <c r="CB639" s="79">
        <v>0</v>
      </c>
      <c r="CC639" s="79">
        <v>0</v>
      </c>
      <c r="CD639" s="79">
        <v>0</v>
      </c>
      <c r="CE639" s="79"/>
      <c r="CF639" s="79" t="s">
        <v>3974</v>
      </c>
      <c r="CG639" s="79" t="s">
        <v>3975</v>
      </c>
      <c r="CH639" s="79"/>
      <c r="CI639" s="79"/>
      <c r="CJ639" s="79"/>
      <c r="CK639" s="145"/>
      <c r="CL639"/>
    </row>
    <row r="640" spans="1:90">
      <c r="A640" s="83" t="s">
        <v>1594</v>
      </c>
      <c r="B640" s="83" t="s">
        <v>2815</v>
      </c>
      <c r="D640" s="83" t="s">
        <v>688</v>
      </c>
      <c r="E640" s="83" t="s">
        <v>2816</v>
      </c>
      <c r="F640" s="83" t="s">
        <v>2817</v>
      </c>
      <c r="G640" s="83" t="s">
        <v>1341</v>
      </c>
      <c r="H640" s="83" t="s">
        <v>1201</v>
      </c>
      <c r="I640" s="83" t="s">
        <v>1202</v>
      </c>
      <c r="J640" s="83" t="s">
        <v>1203</v>
      </c>
      <c r="K640" s="83" t="s">
        <v>565</v>
      </c>
      <c r="L640" s="83" t="s">
        <v>398</v>
      </c>
      <c r="M640" s="83" t="s">
        <v>399</v>
      </c>
      <c r="N640" s="83" t="s">
        <v>2705</v>
      </c>
      <c r="O640" s="83" t="s">
        <v>106</v>
      </c>
      <c r="P640" s="83">
        <v>8</v>
      </c>
      <c r="Q640" s="83" t="s">
        <v>106</v>
      </c>
      <c r="R640" s="83" t="s">
        <v>2694</v>
      </c>
      <c r="S640" s="83" t="s">
        <v>1446</v>
      </c>
      <c r="T640" s="83" t="s">
        <v>2703</v>
      </c>
      <c r="U640" s="83" t="s">
        <v>401</v>
      </c>
      <c r="AC640" s="83" t="s">
        <v>401</v>
      </c>
      <c r="AD640" s="83">
        <v>1499000</v>
      </c>
      <c r="AF640" s="83">
        <v>0</v>
      </c>
      <c r="AJ640" s="83">
        <v>1</v>
      </c>
      <c r="AK640" s="83">
        <v>1</v>
      </c>
      <c r="AL640" s="83">
        <v>11906</v>
      </c>
      <c r="AM640" s="83" t="s">
        <v>2693</v>
      </c>
      <c r="BK640" s="83" t="s">
        <v>2694</v>
      </c>
      <c r="BL640" s="83" t="s">
        <v>2699</v>
      </c>
      <c r="BM640" s="83" t="s">
        <v>2695</v>
      </c>
      <c r="BN640" s="83" t="s">
        <v>2699</v>
      </c>
      <c r="BO640" s="83" t="s">
        <v>2693</v>
      </c>
      <c r="BP640" s="83" t="s">
        <v>2697</v>
      </c>
      <c r="BQ640" s="83" t="s">
        <v>2699</v>
      </c>
      <c r="BR640" s="83" t="s">
        <v>2693</v>
      </c>
      <c r="BS640" s="83" t="s">
        <v>2699</v>
      </c>
      <c r="BT640" s="83">
        <v>0</v>
      </c>
      <c r="BU640" s="83" t="s">
        <v>2699</v>
      </c>
      <c r="BV640" s="83" t="s">
        <v>2696</v>
      </c>
      <c r="BW640" s="83" t="s">
        <v>2698</v>
      </c>
      <c r="BX640" s="83" t="s">
        <v>2693</v>
      </c>
      <c r="BY640" s="83" t="s">
        <v>2699</v>
      </c>
      <c r="BZ640" s="83" t="s">
        <v>2693</v>
      </c>
      <c r="CA640" s="83" t="s">
        <v>2693</v>
      </c>
      <c r="CB640" s="83" t="s">
        <v>2730</v>
      </c>
      <c r="CC640" s="83" t="s">
        <v>2699</v>
      </c>
      <c r="CD640" s="83" t="s">
        <v>2699</v>
      </c>
      <c r="CF640" s="83" t="s">
        <v>2256</v>
      </c>
      <c r="CG640" s="83" t="s">
        <v>2257</v>
      </c>
      <c r="CH640" s="83" t="s">
        <v>2695</v>
      </c>
      <c r="CI640" s="83" t="s">
        <v>648</v>
      </c>
      <c r="CJ640" s="83" t="s">
        <v>2731</v>
      </c>
      <c r="CK640" s="144">
        <v>0</v>
      </c>
      <c r="CL640"/>
    </row>
    <row r="641" spans="1:90">
      <c r="A641" s="83" t="s">
        <v>1595</v>
      </c>
      <c r="B641" s="83" t="s">
        <v>1106</v>
      </c>
      <c r="D641" s="83" t="s">
        <v>688</v>
      </c>
      <c r="E641" s="83" t="s">
        <v>699</v>
      </c>
      <c r="F641" s="83" t="s">
        <v>1791</v>
      </c>
      <c r="G641" s="83" t="s">
        <v>1877</v>
      </c>
      <c r="H641" s="83" t="s">
        <v>1201</v>
      </c>
      <c r="I641" s="83" t="s">
        <v>1202</v>
      </c>
      <c r="J641" s="83" t="s">
        <v>1203</v>
      </c>
      <c r="K641" s="83" t="s">
        <v>565</v>
      </c>
      <c r="L641" s="83" t="s">
        <v>398</v>
      </c>
      <c r="M641" s="83" t="s">
        <v>399</v>
      </c>
      <c r="N641" s="83" t="s">
        <v>2750</v>
      </c>
      <c r="O641" s="83" t="s">
        <v>106</v>
      </c>
      <c r="P641" s="83">
        <v>8</v>
      </c>
      <c r="Q641" s="83" t="s">
        <v>106</v>
      </c>
      <c r="R641" s="83" t="s">
        <v>2799</v>
      </c>
      <c r="S641" s="83" t="s">
        <v>2712</v>
      </c>
      <c r="T641" s="83" t="s">
        <v>2775</v>
      </c>
      <c r="U641" s="83" t="s">
        <v>401</v>
      </c>
      <c r="AC641" s="83" t="s">
        <v>401</v>
      </c>
      <c r="AD641" s="83">
        <v>9608000</v>
      </c>
      <c r="AF641" s="83">
        <v>6409000</v>
      </c>
      <c r="AJ641" s="83">
        <v>1</v>
      </c>
      <c r="AK641" s="83">
        <v>1</v>
      </c>
      <c r="AL641" s="83">
        <v>75600</v>
      </c>
      <c r="AM641" s="83" t="s">
        <v>2693</v>
      </c>
      <c r="BK641" s="83" t="s">
        <v>2694</v>
      </c>
      <c r="BL641" s="83" t="s">
        <v>2697</v>
      </c>
      <c r="BM641" s="83" t="s">
        <v>2699</v>
      </c>
      <c r="BN641" s="83" t="s">
        <v>2698</v>
      </c>
      <c r="BO641" s="83" t="s">
        <v>2693</v>
      </c>
      <c r="BP641" s="83" t="s">
        <v>2696</v>
      </c>
      <c r="BQ641" s="83" t="s">
        <v>2699</v>
      </c>
      <c r="BR641" s="83" t="s">
        <v>2699</v>
      </c>
      <c r="BS641" s="83" t="s">
        <v>2699</v>
      </c>
      <c r="BT641" s="83">
        <v>0</v>
      </c>
      <c r="BU641" s="83" t="s">
        <v>2699</v>
      </c>
      <c r="BV641" s="83" t="s">
        <v>2696</v>
      </c>
      <c r="BW641" s="83" t="s">
        <v>2695</v>
      </c>
      <c r="BX641" s="83" t="s">
        <v>2696</v>
      </c>
      <c r="BY641" s="83" t="s">
        <v>2699</v>
      </c>
      <c r="BZ641" s="83" t="s">
        <v>2693</v>
      </c>
      <c r="CA641" s="83" t="s">
        <v>2693</v>
      </c>
      <c r="CB641" s="83" t="s">
        <v>2730</v>
      </c>
      <c r="CC641" s="83" t="s">
        <v>2699</v>
      </c>
      <c r="CD641" s="83" t="s">
        <v>2699</v>
      </c>
      <c r="CF641" s="83" t="s">
        <v>2012</v>
      </c>
      <c r="CG641" s="83" t="s">
        <v>2013</v>
      </c>
      <c r="CH641" s="83" t="s">
        <v>2695</v>
      </c>
      <c r="CI641" s="83" t="s">
        <v>648</v>
      </c>
      <c r="CJ641" s="83" t="s">
        <v>2731</v>
      </c>
      <c r="CK641" s="144">
        <v>0</v>
      </c>
      <c r="CL641"/>
    </row>
    <row r="642" spans="1:90">
      <c r="A642" s="83" t="s">
        <v>3172</v>
      </c>
      <c r="B642" s="83" t="s">
        <v>976</v>
      </c>
      <c r="D642" s="83" t="s">
        <v>688</v>
      </c>
      <c r="E642" s="83" t="s">
        <v>699</v>
      </c>
      <c r="F642" s="83" t="s">
        <v>3173</v>
      </c>
      <c r="G642" s="83" t="s">
        <v>1871</v>
      </c>
      <c r="H642" s="83" t="s">
        <v>1201</v>
      </c>
      <c r="I642" s="83" t="s">
        <v>1202</v>
      </c>
      <c r="J642" s="83" t="s">
        <v>1203</v>
      </c>
      <c r="K642" s="83" t="s">
        <v>565</v>
      </c>
      <c r="L642" s="83" t="s">
        <v>398</v>
      </c>
      <c r="M642" s="83" t="s">
        <v>399</v>
      </c>
      <c r="N642" s="83" t="s">
        <v>3174</v>
      </c>
      <c r="O642" s="83" t="s">
        <v>106</v>
      </c>
      <c r="P642" s="83">
        <v>8</v>
      </c>
      <c r="Q642" s="83" t="s">
        <v>106</v>
      </c>
      <c r="R642" s="83" t="s">
        <v>2730</v>
      </c>
      <c r="S642" s="83" t="s">
        <v>1449</v>
      </c>
      <c r="T642" s="83" t="s">
        <v>2843</v>
      </c>
      <c r="U642" s="83" t="s">
        <v>401</v>
      </c>
      <c r="AC642" s="83" t="s">
        <v>401</v>
      </c>
      <c r="AD642" s="83">
        <v>5846000</v>
      </c>
      <c r="AF642" s="83">
        <v>3371000</v>
      </c>
      <c r="AJ642" s="83">
        <v>1</v>
      </c>
      <c r="AK642" s="83">
        <v>1</v>
      </c>
      <c r="AL642" s="83">
        <v>39767</v>
      </c>
      <c r="AM642" s="83" t="s">
        <v>2693</v>
      </c>
      <c r="BK642" s="83" t="s">
        <v>2694</v>
      </c>
      <c r="BL642" s="83" t="s">
        <v>2697</v>
      </c>
      <c r="BM642" s="83" t="s">
        <v>2699</v>
      </c>
      <c r="BN642" s="83" t="s">
        <v>2698</v>
      </c>
      <c r="BO642" s="83" t="s">
        <v>2697</v>
      </c>
      <c r="BP642" s="83" t="s">
        <v>2698</v>
      </c>
      <c r="BQ642" s="83" t="s">
        <v>2699</v>
      </c>
      <c r="BR642" s="83" t="s">
        <v>2699</v>
      </c>
      <c r="BS642" s="83" t="s">
        <v>2699</v>
      </c>
      <c r="BT642" s="83" t="s">
        <v>2696</v>
      </c>
      <c r="BU642" s="83" t="s">
        <v>2699</v>
      </c>
      <c r="BV642" s="83" t="s">
        <v>2696</v>
      </c>
      <c r="BW642" s="83" t="s">
        <v>2698</v>
      </c>
      <c r="BX642" s="83" t="s">
        <v>2696</v>
      </c>
      <c r="BY642" s="83" t="s">
        <v>2699</v>
      </c>
      <c r="BZ642" s="83" t="s">
        <v>2693</v>
      </c>
      <c r="CA642" s="83" t="s">
        <v>2693</v>
      </c>
      <c r="CB642" s="83" t="s">
        <v>2697</v>
      </c>
      <c r="CC642" s="83" t="s">
        <v>2699</v>
      </c>
      <c r="CD642" s="83" t="s">
        <v>2699</v>
      </c>
      <c r="CF642" s="83" t="s">
        <v>3175</v>
      </c>
      <c r="CG642" s="83" t="s">
        <v>3176</v>
      </c>
      <c r="CH642" s="83" t="s">
        <v>2695</v>
      </c>
      <c r="CI642" s="83" t="s">
        <v>648</v>
      </c>
      <c r="CJ642" s="83" t="s">
        <v>2726</v>
      </c>
      <c r="CK642" s="144">
        <v>0</v>
      </c>
      <c r="CL642" s="99">
        <v>90000</v>
      </c>
    </row>
    <row r="643" spans="1:90">
      <c r="A643" s="83" t="s">
        <v>1596</v>
      </c>
      <c r="B643" s="83" t="s">
        <v>700</v>
      </c>
      <c r="D643" s="83" t="s">
        <v>688</v>
      </c>
      <c r="E643" s="83" t="s">
        <v>700</v>
      </c>
      <c r="F643" s="83" t="s">
        <v>2818</v>
      </c>
      <c r="G643" s="83" t="s">
        <v>1165</v>
      </c>
      <c r="H643" s="83" t="s">
        <v>1201</v>
      </c>
      <c r="I643" s="83" t="s">
        <v>1202</v>
      </c>
      <c r="J643" s="83" t="s">
        <v>1203</v>
      </c>
      <c r="K643" s="83" t="s">
        <v>565</v>
      </c>
      <c r="L643" s="83" t="s">
        <v>398</v>
      </c>
      <c r="M643" s="83" t="s">
        <v>399</v>
      </c>
      <c r="N643" s="83" t="s">
        <v>2752</v>
      </c>
      <c r="O643" s="83" t="s">
        <v>106</v>
      </c>
      <c r="P643" s="83">
        <v>5</v>
      </c>
      <c r="Q643" s="83" t="s">
        <v>106</v>
      </c>
      <c r="R643" s="83" t="s">
        <v>2808</v>
      </c>
      <c r="S643" s="83" t="s">
        <v>1468</v>
      </c>
      <c r="T643" s="83" t="s">
        <v>2703</v>
      </c>
      <c r="U643" s="83" t="s">
        <v>401</v>
      </c>
      <c r="AC643" s="83" t="s">
        <v>401</v>
      </c>
      <c r="AD643" s="83">
        <v>10199000</v>
      </c>
      <c r="AF643" s="83">
        <v>0</v>
      </c>
      <c r="AJ643" s="83">
        <v>1</v>
      </c>
      <c r="AK643" s="83">
        <v>6</v>
      </c>
      <c r="AL643" s="83">
        <v>190512</v>
      </c>
      <c r="AM643" s="83" t="s">
        <v>2693</v>
      </c>
      <c r="BK643" s="83" t="s">
        <v>2694</v>
      </c>
      <c r="BL643" s="83" t="s">
        <v>2696</v>
      </c>
      <c r="BM643" s="83" t="s">
        <v>2699</v>
      </c>
      <c r="BN643" s="83" t="s">
        <v>2698</v>
      </c>
      <c r="BO643" s="83" t="s">
        <v>2699</v>
      </c>
      <c r="BP643" s="83" t="s">
        <v>2699</v>
      </c>
      <c r="BQ643" s="83" t="s">
        <v>2693</v>
      </c>
      <c r="BR643" s="83" t="s">
        <v>2699</v>
      </c>
      <c r="BS643" s="83" t="s">
        <v>2699</v>
      </c>
      <c r="BT643" s="83">
        <v>0</v>
      </c>
      <c r="BU643" s="83" t="s">
        <v>2699</v>
      </c>
      <c r="BV643" s="83" t="s">
        <v>2696</v>
      </c>
      <c r="BW643" s="83" t="s">
        <v>2698</v>
      </c>
      <c r="BX643" s="83" t="s">
        <v>2696</v>
      </c>
      <c r="BY643" s="83" t="s">
        <v>2699</v>
      </c>
      <c r="BZ643" s="83" t="s">
        <v>2693</v>
      </c>
      <c r="CA643" s="83" t="s">
        <v>2693</v>
      </c>
      <c r="CB643" s="83" t="s">
        <v>2694</v>
      </c>
      <c r="CC643" s="83" t="s">
        <v>2699</v>
      </c>
      <c r="CD643" s="83" t="s">
        <v>2696</v>
      </c>
      <c r="CF643" s="83" t="s">
        <v>2049</v>
      </c>
      <c r="CG643" s="83" t="s">
        <v>2050</v>
      </c>
      <c r="CH643" s="83" t="s">
        <v>2725</v>
      </c>
      <c r="CI643" s="83" t="s">
        <v>778</v>
      </c>
      <c r="CJ643" s="83" t="s">
        <v>2780</v>
      </c>
      <c r="CK643" s="144">
        <v>0</v>
      </c>
      <c r="CL643"/>
    </row>
    <row r="644" spans="1:90">
      <c r="A644" s="79" t="s">
        <v>3667</v>
      </c>
      <c r="B644" s="79" t="s">
        <v>4024</v>
      </c>
      <c r="C644" s="79"/>
      <c r="D644" s="79" t="s">
        <v>688</v>
      </c>
      <c r="E644" s="79" t="s">
        <v>2638</v>
      </c>
      <c r="F644" s="79" t="s">
        <v>3668</v>
      </c>
      <c r="G644" s="79" t="s">
        <v>2449</v>
      </c>
      <c r="H644" s="79" t="s">
        <v>1201</v>
      </c>
      <c r="I644" s="79" t="s">
        <v>1202</v>
      </c>
      <c r="J644" s="79" t="s">
        <v>1203</v>
      </c>
      <c r="K644" s="79" t="s">
        <v>565</v>
      </c>
      <c r="L644" s="79" t="s">
        <v>398</v>
      </c>
      <c r="M644" s="79" t="s">
        <v>399</v>
      </c>
      <c r="N644" s="79" t="s">
        <v>1909</v>
      </c>
      <c r="O644" s="79" t="s">
        <v>106</v>
      </c>
      <c r="P644" s="79">
        <v>9</v>
      </c>
      <c r="Q644" s="79" t="s">
        <v>106</v>
      </c>
      <c r="R644" s="79" t="s">
        <v>2727</v>
      </c>
      <c r="S644" s="79" t="s">
        <v>2720</v>
      </c>
      <c r="T644" s="79" t="s">
        <v>2703</v>
      </c>
      <c r="U644" s="79" t="s">
        <v>401</v>
      </c>
      <c r="AC644" s="79" t="s">
        <v>401</v>
      </c>
      <c r="AD644" s="79">
        <v>59000</v>
      </c>
      <c r="AE644" s="79"/>
      <c r="AF644" s="79">
        <v>0</v>
      </c>
      <c r="AG644" s="79"/>
      <c r="AH644" s="79"/>
      <c r="AI644" s="79"/>
      <c r="AJ644" s="79">
        <v>1</v>
      </c>
      <c r="AK644" s="79">
        <v>1</v>
      </c>
      <c r="AL644" s="79">
        <v>1800</v>
      </c>
      <c r="AM644" s="79" t="s">
        <v>2693</v>
      </c>
      <c r="AN644" s="79"/>
      <c r="AO644" s="79"/>
      <c r="AP644" s="79"/>
      <c r="AQ644" s="79"/>
      <c r="AR644" s="79"/>
      <c r="AS644" s="79"/>
      <c r="AT644" s="79"/>
      <c r="AU644" s="79"/>
      <c r="AV644" s="79"/>
      <c r="AW644" s="79"/>
      <c r="AX644" s="79"/>
      <c r="AY644" s="79"/>
      <c r="AZ644" s="79"/>
      <c r="BA644" s="79"/>
      <c r="BB644" s="79"/>
      <c r="BC644" s="79"/>
      <c r="BD644" s="79"/>
      <c r="BE644" s="79"/>
      <c r="BF644" s="79"/>
      <c r="BG644" s="79"/>
      <c r="BH644" s="79"/>
      <c r="BI644" s="79"/>
      <c r="BJ644" s="79"/>
      <c r="BK644" s="79" t="s">
        <v>2694</v>
      </c>
      <c r="BL644" s="79" t="s">
        <v>2704</v>
      </c>
      <c r="BM644" s="79" t="s">
        <v>2698</v>
      </c>
      <c r="BN644" s="79" t="s">
        <v>2698</v>
      </c>
      <c r="BO644" s="79" t="s">
        <v>2697</v>
      </c>
      <c r="BP644" s="79" t="s">
        <v>2697</v>
      </c>
      <c r="BQ644" s="79" t="s">
        <v>2699</v>
      </c>
      <c r="BR644" s="79" t="s">
        <v>2693</v>
      </c>
      <c r="BS644" s="79" t="s">
        <v>2699</v>
      </c>
      <c r="BT644" s="79" t="s">
        <v>2696</v>
      </c>
      <c r="BU644" s="79">
        <v>1</v>
      </c>
      <c r="BV644" s="79" t="s">
        <v>2696</v>
      </c>
      <c r="BW644" s="79" t="s">
        <v>2693</v>
      </c>
      <c r="BX644" s="79" t="s">
        <v>2696</v>
      </c>
      <c r="BY644" s="79" t="s">
        <v>2699</v>
      </c>
      <c r="BZ644" s="79" t="s">
        <v>2699</v>
      </c>
      <c r="CA644" s="79" t="s">
        <v>2699</v>
      </c>
      <c r="CB644" s="79">
        <v>9</v>
      </c>
      <c r="CC644" s="79" t="s">
        <v>2699</v>
      </c>
      <c r="CD644" s="79" t="s">
        <v>2696</v>
      </c>
      <c r="CE644" s="79"/>
      <c r="CF644" s="81" t="s">
        <v>4018</v>
      </c>
      <c r="CG644" s="81" t="s">
        <v>4019</v>
      </c>
      <c r="CH644" s="79" t="s">
        <v>2697</v>
      </c>
      <c r="CI644" s="79" t="s">
        <v>648</v>
      </c>
      <c r="CJ644" s="79" t="s">
        <v>2757</v>
      </c>
      <c r="CK644" s="145">
        <v>0</v>
      </c>
      <c r="CL644"/>
    </row>
    <row r="645" spans="1:90">
      <c r="A645" s="79" t="s">
        <v>3576</v>
      </c>
      <c r="B645" s="79" t="s">
        <v>4043</v>
      </c>
      <c r="C645" s="79"/>
      <c r="D645" s="79" t="s">
        <v>688</v>
      </c>
      <c r="E645" s="79" t="s">
        <v>4043</v>
      </c>
      <c r="F645" s="79" t="s">
        <v>3577</v>
      </c>
      <c r="G645" s="79" t="s">
        <v>2446</v>
      </c>
      <c r="H645" s="79" t="s">
        <v>1201</v>
      </c>
      <c r="I645" s="79" t="s">
        <v>1202</v>
      </c>
      <c r="J645" s="79" t="s">
        <v>1203</v>
      </c>
      <c r="K645" s="79" t="s">
        <v>565</v>
      </c>
      <c r="L645" s="79" t="s">
        <v>398</v>
      </c>
      <c r="M645" s="79" t="s">
        <v>399</v>
      </c>
      <c r="N645" s="79" t="s">
        <v>1909</v>
      </c>
      <c r="O645" s="79" t="s">
        <v>106</v>
      </c>
      <c r="P645" s="79">
        <v>4</v>
      </c>
      <c r="Q645" s="79" t="s">
        <v>106</v>
      </c>
      <c r="R645" s="79" t="s">
        <v>2727</v>
      </c>
      <c r="S645" s="79" t="s">
        <v>2764</v>
      </c>
      <c r="T645" s="79" t="s">
        <v>2703</v>
      </c>
      <c r="U645" s="79" t="s">
        <v>401</v>
      </c>
      <c r="AC645" s="79" t="s">
        <v>401</v>
      </c>
      <c r="AD645" s="79">
        <v>235000</v>
      </c>
      <c r="AE645" s="79"/>
      <c r="AF645" s="79">
        <v>0</v>
      </c>
      <c r="AG645" s="79"/>
      <c r="AH645" s="79"/>
      <c r="AI645" s="79"/>
      <c r="AJ645" s="79">
        <v>1</v>
      </c>
      <c r="AK645" s="79">
        <v>1</v>
      </c>
      <c r="AL645" s="79">
        <v>2358</v>
      </c>
      <c r="AM645" s="79" t="s">
        <v>2693</v>
      </c>
      <c r="AN645" s="79"/>
      <c r="AO645" s="79"/>
      <c r="AP645" s="79"/>
      <c r="AQ645" s="79"/>
      <c r="AR645" s="79"/>
      <c r="AS645" s="79"/>
      <c r="AT645" s="79"/>
      <c r="AU645" s="79"/>
      <c r="AV645" s="79"/>
      <c r="AW645" s="79"/>
      <c r="AX645" s="79"/>
      <c r="AY645" s="79"/>
      <c r="AZ645" s="79"/>
      <c r="BA645" s="79"/>
      <c r="BB645" s="79"/>
      <c r="BC645" s="79"/>
      <c r="BD645" s="79"/>
      <c r="BE645" s="79"/>
      <c r="BF645" s="79"/>
      <c r="BG645" s="79"/>
      <c r="BH645" s="79"/>
      <c r="BI645" s="79"/>
      <c r="BJ645" s="79"/>
      <c r="BK645" s="79" t="s">
        <v>2694</v>
      </c>
      <c r="BL645" s="79" t="s">
        <v>2704</v>
      </c>
      <c r="BM645" s="79" t="s">
        <v>2698</v>
      </c>
      <c r="BN645" s="79" t="s">
        <v>2696</v>
      </c>
      <c r="BO645" s="79" t="s">
        <v>2697</v>
      </c>
      <c r="BP645" s="79" t="s">
        <v>2698</v>
      </c>
      <c r="BQ645" s="79" t="s">
        <v>2699</v>
      </c>
      <c r="BR645" s="79" t="s">
        <v>2693</v>
      </c>
      <c r="BS645" s="79" t="s">
        <v>2699</v>
      </c>
      <c r="BT645" s="79" t="s">
        <v>2696</v>
      </c>
      <c r="BU645" s="79">
        <v>1</v>
      </c>
      <c r="BV645" s="79" t="s">
        <v>2696</v>
      </c>
      <c r="BW645" s="79" t="s">
        <v>2698</v>
      </c>
      <c r="BX645" s="79" t="s">
        <v>2696</v>
      </c>
      <c r="BY645" s="79" t="s">
        <v>2699</v>
      </c>
      <c r="BZ645" s="79" t="s">
        <v>2699</v>
      </c>
      <c r="CA645" s="79" t="s">
        <v>2693</v>
      </c>
      <c r="CB645" s="79" t="s">
        <v>2699</v>
      </c>
      <c r="CC645" s="79" t="s">
        <v>2699</v>
      </c>
      <c r="CD645" s="79" t="s">
        <v>2696</v>
      </c>
      <c r="CE645" s="79"/>
      <c r="CF645" s="81" t="s">
        <v>4058</v>
      </c>
      <c r="CG645" s="81" t="s">
        <v>4059</v>
      </c>
      <c r="CH645" s="79" t="s">
        <v>2693</v>
      </c>
      <c r="CI645" s="79" t="s">
        <v>2076</v>
      </c>
      <c r="CJ645" s="79" t="s">
        <v>2701</v>
      </c>
      <c r="CK645" s="145">
        <v>0</v>
      </c>
      <c r="CL645"/>
    </row>
    <row r="646" spans="1:90">
      <c r="A646" s="83" t="s">
        <v>3272</v>
      </c>
      <c r="B646" s="83" t="s">
        <v>2637</v>
      </c>
      <c r="D646" s="83" t="s">
        <v>688</v>
      </c>
      <c r="E646" s="83" t="s">
        <v>2638</v>
      </c>
      <c r="F646" s="83" t="s">
        <v>3259</v>
      </c>
      <c r="G646" s="83" t="s">
        <v>2320</v>
      </c>
      <c r="H646" s="83" t="s">
        <v>1201</v>
      </c>
      <c r="I646" s="83" t="s">
        <v>1202</v>
      </c>
      <c r="J646" s="83" t="s">
        <v>1203</v>
      </c>
      <c r="K646" s="83" t="s">
        <v>565</v>
      </c>
      <c r="L646" s="83" t="s">
        <v>398</v>
      </c>
      <c r="M646" s="83" t="s">
        <v>399</v>
      </c>
      <c r="N646" s="83" t="s">
        <v>3248</v>
      </c>
      <c r="O646" s="83" t="s">
        <v>106</v>
      </c>
      <c r="P646" s="83">
        <v>9</v>
      </c>
      <c r="Q646" s="83" t="s">
        <v>106</v>
      </c>
      <c r="R646" s="83" t="s">
        <v>2727</v>
      </c>
      <c r="S646" s="83" t="s">
        <v>2759</v>
      </c>
      <c r="T646" s="83" t="s">
        <v>2843</v>
      </c>
      <c r="U646" s="83" t="s">
        <v>401</v>
      </c>
      <c r="AC646" s="83" t="s">
        <v>401</v>
      </c>
      <c r="AD646" s="83">
        <v>524000</v>
      </c>
      <c r="AF646" s="83">
        <v>124000</v>
      </c>
      <c r="AJ646" s="83">
        <v>1</v>
      </c>
      <c r="AK646" s="83">
        <v>2</v>
      </c>
      <c r="AL646" s="83">
        <v>4800</v>
      </c>
      <c r="AM646" s="83" t="s">
        <v>2693</v>
      </c>
      <c r="BK646" s="83" t="s">
        <v>2694</v>
      </c>
      <c r="BL646" s="83" t="s">
        <v>2693</v>
      </c>
      <c r="BM646" s="83" t="s">
        <v>2698</v>
      </c>
      <c r="BN646" s="83" t="s">
        <v>2696</v>
      </c>
      <c r="BO646" s="83" t="s">
        <v>2697</v>
      </c>
      <c r="BP646" s="83" t="s">
        <v>2697</v>
      </c>
      <c r="BQ646" s="83" t="s">
        <v>2699</v>
      </c>
      <c r="BR646" s="83" t="s">
        <v>2693</v>
      </c>
      <c r="BS646" s="83" t="s">
        <v>2699</v>
      </c>
      <c r="BT646" s="83" t="s">
        <v>2696</v>
      </c>
      <c r="BU646" s="83" t="s">
        <v>2699</v>
      </c>
      <c r="BV646" s="83" t="s">
        <v>2696</v>
      </c>
      <c r="BW646" s="83" t="s">
        <v>2693</v>
      </c>
      <c r="BX646" s="83" t="s">
        <v>2696</v>
      </c>
      <c r="BY646" s="83" t="s">
        <v>2699</v>
      </c>
      <c r="BZ646" s="83" t="s">
        <v>2693</v>
      </c>
      <c r="CA646" s="83" t="s">
        <v>2693</v>
      </c>
      <c r="CB646" s="83" t="s">
        <v>2694</v>
      </c>
      <c r="CC646" s="83" t="s">
        <v>2699</v>
      </c>
      <c r="CD646" s="83" t="s">
        <v>2696</v>
      </c>
      <c r="CF646" s="83" t="s">
        <v>3273</v>
      </c>
      <c r="CG646" s="83" t="s">
        <v>3274</v>
      </c>
      <c r="CH646" s="83" t="s">
        <v>2697</v>
      </c>
      <c r="CI646" s="83" t="s">
        <v>2695</v>
      </c>
      <c r="CJ646" s="83" t="s">
        <v>2757</v>
      </c>
      <c r="CK646" s="144">
        <v>0</v>
      </c>
      <c r="CL646"/>
    </row>
    <row r="647" spans="1:90">
      <c r="A647" s="83" t="s">
        <v>3348</v>
      </c>
      <c r="B647" s="83" t="s">
        <v>1002</v>
      </c>
      <c r="D647" s="83" t="s">
        <v>688</v>
      </c>
      <c r="E647" s="83" t="s">
        <v>2548</v>
      </c>
      <c r="F647" s="83" t="s">
        <v>3349</v>
      </c>
      <c r="G647" s="83" t="s">
        <v>2337</v>
      </c>
      <c r="H647" s="83" t="s">
        <v>1201</v>
      </c>
      <c r="I647" s="83" t="s">
        <v>1202</v>
      </c>
      <c r="J647" s="83" t="s">
        <v>1203</v>
      </c>
      <c r="K647" s="83" t="s">
        <v>565</v>
      </c>
      <c r="L647" s="83" t="s">
        <v>398</v>
      </c>
      <c r="M647" s="83" t="s">
        <v>399</v>
      </c>
      <c r="N647" s="83" t="s">
        <v>3350</v>
      </c>
      <c r="O647" s="83" t="s">
        <v>106</v>
      </c>
      <c r="P647" s="83">
        <v>4</v>
      </c>
      <c r="Q647" s="83" t="s">
        <v>106</v>
      </c>
      <c r="R647" s="83" t="s">
        <v>2727</v>
      </c>
      <c r="S647" s="83" t="s">
        <v>2712</v>
      </c>
      <c r="T647" s="83" t="s">
        <v>2843</v>
      </c>
      <c r="U647" s="83" t="s">
        <v>401</v>
      </c>
      <c r="AC647" s="83" t="s">
        <v>401</v>
      </c>
      <c r="AD647" s="83">
        <v>144000</v>
      </c>
      <c r="AF647" s="83">
        <v>4000</v>
      </c>
      <c r="AJ647" s="83">
        <v>1</v>
      </c>
      <c r="AK647" s="83">
        <v>1</v>
      </c>
      <c r="AL647" s="83">
        <v>1260</v>
      </c>
      <c r="AM647" s="83" t="s">
        <v>2693</v>
      </c>
      <c r="BK647" s="83" t="s">
        <v>2694</v>
      </c>
      <c r="BL647" s="83" t="s">
        <v>2693</v>
      </c>
      <c r="BM647" s="83" t="s">
        <v>2698</v>
      </c>
      <c r="BN647" s="83" t="s">
        <v>2698</v>
      </c>
      <c r="BO647" s="83" t="s">
        <v>2697</v>
      </c>
      <c r="BP647" s="83" t="s">
        <v>2698</v>
      </c>
      <c r="BQ647" s="83" t="s">
        <v>2699</v>
      </c>
      <c r="BR647" s="83" t="s">
        <v>2693</v>
      </c>
      <c r="BS647" s="83" t="s">
        <v>2699</v>
      </c>
      <c r="BT647" s="83" t="s">
        <v>2696</v>
      </c>
      <c r="BU647" s="83" t="s">
        <v>2699</v>
      </c>
      <c r="BV647" s="83" t="s">
        <v>2696</v>
      </c>
      <c r="BW647" s="83" t="s">
        <v>2698</v>
      </c>
      <c r="BX647" s="83" t="s">
        <v>2696</v>
      </c>
      <c r="BY647" s="83" t="s">
        <v>2699</v>
      </c>
      <c r="BZ647" s="83" t="s">
        <v>2693</v>
      </c>
      <c r="CA647" s="83" t="s">
        <v>2693</v>
      </c>
      <c r="CB647" s="83" t="s">
        <v>2694</v>
      </c>
      <c r="CC647" s="83" t="s">
        <v>2699</v>
      </c>
      <c r="CD647" s="83" t="s">
        <v>2696</v>
      </c>
      <c r="CF647" s="83" t="s">
        <v>3351</v>
      </c>
      <c r="CG647" s="83" t="s">
        <v>3352</v>
      </c>
      <c r="CH647" s="83" t="s">
        <v>2693</v>
      </c>
      <c r="CI647" s="83" t="s">
        <v>3992</v>
      </c>
      <c r="CJ647" s="83" t="s">
        <v>2701</v>
      </c>
      <c r="CK647" s="144">
        <v>0</v>
      </c>
      <c r="CL647" s="99">
        <v>1052000</v>
      </c>
    </row>
    <row r="648" spans="1:90">
      <c r="A648" s="83" t="s">
        <v>3028</v>
      </c>
      <c r="B648" s="83" t="s">
        <v>736</v>
      </c>
      <c r="D648" s="83" t="s">
        <v>688</v>
      </c>
      <c r="E648" s="83" t="s">
        <v>2549</v>
      </c>
      <c r="F648" s="83" t="s">
        <v>3029</v>
      </c>
      <c r="G648" s="83" t="s">
        <v>2551</v>
      </c>
      <c r="H648" s="83" t="s">
        <v>1201</v>
      </c>
      <c r="I648" s="83" t="s">
        <v>1202</v>
      </c>
      <c r="J648" s="83" t="s">
        <v>1203</v>
      </c>
      <c r="K648" s="83" t="s">
        <v>565</v>
      </c>
      <c r="L648" s="83" t="s">
        <v>398</v>
      </c>
      <c r="M648" s="83" t="s">
        <v>399</v>
      </c>
      <c r="N648" s="83" t="s">
        <v>3001</v>
      </c>
      <c r="O648" s="83" t="s">
        <v>106</v>
      </c>
      <c r="P648" s="83">
        <v>8</v>
      </c>
      <c r="Q648" s="83" t="s">
        <v>106</v>
      </c>
      <c r="R648" s="83" t="s">
        <v>2691</v>
      </c>
      <c r="S648" s="83" t="s">
        <v>2714</v>
      </c>
      <c r="T648" s="83" t="s">
        <v>2843</v>
      </c>
      <c r="U648" s="83" t="s">
        <v>401</v>
      </c>
      <c r="AC648" s="83" t="s">
        <v>401</v>
      </c>
      <c r="AD648" s="83">
        <v>708000</v>
      </c>
      <c r="AF648" s="83">
        <v>47000</v>
      </c>
      <c r="AJ648" s="83">
        <v>1</v>
      </c>
      <c r="AK648" s="83">
        <v>1</v>
      </c>
      <c r="AL648" s="83">
        <v>4798</v>
      </c>
      <c r="AM648" s="83" t="s">
        <v>2693</v>
      </c>
      <c r="BK648" s="83" t="s">
        <v>2694</v>
      </c>
      <c r="BL648" s="83" t="s">
        <v>2704</v>
      </c>
      <c r="BM648" s="83" t="s">
        <v>2697</v>
      </c>
      <c r="BN648" s="83" t="s">
        <v>2698</v>
      </c>
      <c r="BO648" s="83" t="s">
        <v>2697</v>
      </c>
      <c r="BP648" s="83" t="s">
        <v>2697</v>
      </c>
      <c r="BQ648" s="83" t="s">
        <v>2699</v>
      </c>
      <c r="BR648" s="83" t="s">
        <v>2693</v>
      </c>
      <c r="BS648" s="83" t="s">
        <v>2699</v>
      </c>
      <c r="BT648" s="83" t="s">
        <v>2696</v>
      </c>
      <c r="BU648" s="83" t="s">
        <v>2699</v>
      </c>
      <c r="BV648" s="83" t="s">
        <v>2696</v>
      </c>
      <c r="BW648" s="83" t="s">
        <v>2698</v>
      </c>
      <c r="BX648" s="83" t="s">
        <v>2696</v>
      </c>
      <c r="BY648" s="83" t="s">
        <v>2699</v>
      </c>
      <c r="BZ648" s="83" t="s">
        <v>2693</v>
      </c>
      <c r="CA648" s="83" t="s">
        <v>2693</v>
      </c>
      <c r="CB648" s="83" t="s">
        <v>2694</v>
      </c>
      <c r="CC648" s="83" t="s">
        <v>2699</v>
      </c>
      <c r="CD648" s="83" t="s">
        <v>2696</v>
      </c>
      <c r="CF648" s="83" t="s">
        <v>2552</v>
      </c>
      <c r="CG648" s="83" t="s">
        <v>2553</v>
      </c>
      <c r="CH648" s="83" t="s">
        <v>2695</v>
      </c>
      <c r="CI648" s="83" t="s">
        <v>648</v>
      </c>
      <c r="CK648" s="144">
        <v>1</v>
      </c>
      <c r="CL648" s="99">
        <v>593000</v>
      </c>
    </row>
    <row r="649" spans="1:90">
      <c r="A649" s="83" t="s">
        <v>3028</v>
      </c>
      <c r="B649" s="83" t="s">
        <v>736</v>
      </c>
      <c r="D649" s="83" t="s">
        <v>673</v>
      </c>
      <c r="E649" s="83" t="s">
        <v>2550</v>
      </c>
      <c r="F649" s="83" t="s">
        <v>3029</v>
      </c>
      <c r="G649" s="83" t="s">
        <v>2551</v>
      </c>
      <c r="H649" s="83" t="s">
        <v>1201</v>
      </c>
      <c r="I649" s="83" t="s">
        <v>1202</v>
      </c>
      <c r="J649" s="83" t="s">
        <v>1203</v>
      </c>
      <c r="K649" s="83" t="s">
        <v>565</v>
      </c>
      <c r="L649" s="83" t="s">
        <v>398</v>
      </c>
      <c r="M649" s="83" t="s">
        <v>399</v>
      </c>
      <c r="N649" s="83" t="s">
        <v>3001</v>
      </c>
      <c r="O649" s="83" t="s">
        <v>106</v>
      </c>
      <c r="P649" s="83">
        <v>8</v>
      </c>
      <c r="Q649" s="83" t="s">
        <v>106</v>
      </c>
      <c r="R649" s="83" t="s">
        <v>2691</v>
      </c>
      <c r="S649" s="83" t="s">
        <v>2714</v>
      </c>
      <c r="T649" s="83" t="s">
        <v>2843</v>
      </c>
      <c r="U649" s="83" t="s">
        <v>401</v>
      </c>
      <c r="AC649" s="83" t="s">
        <v>401</v>
      </c>
      <c r="AD649" s="83">
        <v>2188000</v>
      </c>
      <c r="AF649" s="83">
        <v>71000</v>
      </c>
      <c r="AJ649" s="83">
        <v>1</v>
      </c>
      <c r="AK649" s="83">
        <v>2</v>
      </c>
      <c r="AL649" s="83">
        <v>12684</v>
      </c>
      <c r="AM649" s="83" t="s">
        <v>2693</v>
      </c>
      <c r="BK649" s="83" t="s">
        <v>2694</v>
      </c>
      <c r="BL649" s="83" t="s">
        <v>2695</v>
      </c>
      <c r="BM649" s="83" t="s">
        <v>2693</v>
      </c>
      <c r="BN649" s="83" t="s">
        <v>2698</v>
      </c>
      <c r="BO649" s="83" t="s">
        <v>2697</v>
      </c>
      <c r="BP649" s="83" t="s">
        <v>2697</v>
      </c>
      <c r="BQ649" s="83" t="s">
        <v>2699</v>
      </c>
      <c r="BR649" s="83" t="s">
        <v>2693</v>
      </c>
      <c r="BS649" s="83" t="s">
        <v>2699</v>
      </c>
      <c r="BT649" s="83" t="s">
        <v>2696</v>
      </c>
      <c r="BU649" s="83" t="s">
        <v>2699</v>
      </c>
      <c r="BV649" s="83" t="s">
        <v>2696</v>
      </c>
      <c r="BW649" s="83" t="s">
        <v>2698</v>
      </c>
      <c r="BX649" s="83" t="s">
        <v>2696</v>
      </c>
      <c r="BY649" s="83" t="s">
        <v>2699</v>
      </c>
      <c r="BZ649" s="83" t="s">
        <v>2693</v>
      </c>
      <c r="CA649" s="83" t="s">
        <v>2693</v>
      </c>
      <c r="CB649" s="83" t="s">
        <v>2694</v>
      </c>
      <c r="CC649" s="83" t="s">
        <v>2699</v>
      </c>
      <c r="CD649" s="83" t="s">
        <v>2696</v>
      </c>
      <c r="CF649" s="83" t="s">
        <v>2554</v>
      </c>
      <c r="CG649" s="83" t="s">
        <v>2555</v>
      </c>
      <c r="CH649" s="83" t="s">
        <v>2695</v>
      </c>
      <c r="CI649" s="83" t="s">
        <v>648</v>
      </c>
      <c r="CL649"/>
    </row>
    <row r="650" spans="1:90">
      <c r="A650" s="83" t="s">
        <v>3028</v>
      </c>
      <c r="B650" s="83" t="s">
        <v>736</v>
      </c>
      <c r="D650" s="83" t="s">
        <v>714</v>
      </c>
      <c r="E650" s="83" t="s">
        <v>894</v>
      </c>
      <c r="F650" s="83" t="s">
        <v>3030</v>
      </c>
      <c r="G650" s="83" t="s">
        <v>2289</v>
      </c>
      <c r="H650" s="83" t="s">
        <v>1201</v>
      </c>
      <c r="I650" s="83" t="s">
        <v>1202</v>
      </c>
      <c r="J650" s="83" t="s">
        <v>1203</v>
      </c>
      <c r="K650" s="83" t="s">
        <v>565</v>
      </c>
      <c r="L650" s="83" t="s">
        <v>398</v>
      </c>
      <c r="M650" s="83" t="s">
        <v>399</v>
      </c>
      <c r="N650" s="83" t="s">
        <v>3001</v>
      </c>
      <c r="O650" s="83" t="s">
        <v>106</v>
      </c>
      <c r="P650" s="83">
        <v>4</v>
      </c>
      <c r="Q650" s="83" t="s">
        <v>106</v>
      </c>
      <c r="R650" s="83" t="s">
        <v>2727</v>
      </c>
      <c r="S650" s="83" t="s">
        <v>2714</v>
      </c>
      <c r="T650" s="83" t="s">
        <v>2843</v>
      </c>
      <c r="U650" s="83" t="s">
        <v>401</v>
      </c>
      <c r="AC650" s="83" t="s">
        <v>401</v>
      </c>
      <c r="AD650" s="83">
        <v>42000</v>
      </c>
      <c r="AF650" s="83">
        <v>1000</v>
      </c>
      <c r="AJ650" s="83">
        <v>1</v>
      </c>
      <c r="AK650" s="83">
        <v>1</v>
      </c>
      <c r="AL650" s="83">
        <v>342</v>
      </c>
      <c r="AM650" s="83" t="s">
        <v>2693</v>
      </c>
      <c r="BK650" s="83" t="s">
        <v>2694</v>
      </c>
      <c r="BL650" s="83" t="s">
        <v>2699</v>
      </c>
      <c r="BM650" s="83" t="s">
        <v>2698</v>
      </c>
      <c r="BN650" s="83" t="s">
        <v>2698</v>
      </c>
      <c r="BO650" s="83" t="s">
        <v>2697</v>
      </c>
      <c r="BP650" s="83" t="s">
        <v>2699</v>
      </c>
      <c r="BQ650" s="83" t="s">
        <v>2699</v>
      </c>
      <c r="BR650" s="83" t="s">
        <v>2693</v>
      </c>
      <c r="BS650" s="83" t="s">
        <v>2699</v>
      </c>
      <c r="BT650" s="83" t="s">
        <v>2696</v>
      </c>
      <c r="BU650" s="83" t="s">
        <v>2699</v>
      </c>
      <c r="BV650" s="83" t="s">
        <v>2696</v>
      </c>
      <c r="BW650" s="83" t="s">
        <v>2698</v>
      </c>
      <c r="BX650" s="83" t="s">
        <v>2696</v>
      </c>
      <c r="BY650" s="83" t="s">
        <v>2699</v>
      </c>
      <c r="BZ650" s="83" t="s">
        <v>2693</v>
      </c>
      <c r="CA650" s="83" t="s">
        <v>2693</v>
      </c>
      <c r="CB650" s="83" t="s">
        <v>2694</v>
      </c>
      <c r="CC650" s="83" t="s">
        <v>2699</v>
      </c>
      <c r="CD650" s="83" t="s">
        <v>2696</v>
      </c>
      <c r="CF650" s="83" t="s">
        <v>2556</v>
      </c>
      <c r="CG650" s="83" t="s">
        <v>2557</v>
      </c>
      <c r="CH650" s="83" t="s">
        <v>2693</v>
      </c>
      <c r="CI650" s="83" t="s">
        <v>3992</v>
      </c>
      <c r="CJ650" s="83" t="s">
        <v>2701</v>
      </c>
      <c r="CL650"/>
    </row>
    <row r="651" spans="1:90">
      <c r="A651" s="83" t="s">
        <v>2819</v>
      </c>
      <c r="B651" s="83" t="s">
        <v>2820</v>
      </c>
      <c r="D651" s="83" t="s">
        <v>688</v>
      </c>
      <c r="E651" s="83" t="s">
        <v>894</v>
      </c>
      <c r="F651" s="83" t="s">
        <v>2821</v>
      </c>
      <c r="G651" s="83" t="s">
        <v>1899</v>
      </c>
      <c r="H651" s="83" t="s">
        <v>1201</v>
      </c>
      <c r="I651" s="83" t="s">
        <v>1202</v>
      </c>
      <c r="J651" s="83" t="s">
        <v>1203</v>
      </c>
      <c r="K651" s="83" t="s">
        <v>565</v>
      </c>
      <c r="L651" s="83" t="s">
        <v>398</v>
      </c>
      <c r="M651" s="83" t="s">
        <v>399</v>
      </c>
      <c r="N651" s="83" t="s">
        <v>2735</v>
      </c>
      <c r="O651" s="83" t="s">
        <v>106</v>
      </c>
      <c r="P651" s="83">
        <v>4</v>
      </c>
      <c r="Q651" s="83" t="s">
        <v>106</v>
      </c>
      <c r="R651" s="83" t="s">
        <v>2727</v>
      </c>
      <c r="S651" s="83" t="s">
        <v>2716</v>
      </c>
      <c r="T651" s="83" t="s">
        <v>2703</v>
      </c>
      <c r="U651" s="83" t="s">
        <v>401</v>
      </c>
      <c r="AC651" s="83" t="s">
        <v>401</v>
      </c>
      <c r="AD651" s="83">
        <v>68000</v>
      </c>
      <c r="AF651" s="83">
        <v>1000</v>
      </c>
      <c r="AJ651" s="83">
        <v>1</v>
      </c>
      <c r="AK651" s="83">
        <v>1</v>
      </c>
      <c r="AL651" s="83">
        <v>309</v>
      </c>
      <c r="AM651" s="83" t="s">
        <v>2693</v>
      </c>
      <c r="BK651" s="83" t="s">
        <v>2694</v>
      </c>
      <c r="BL651" s="83" t="s">
        <v>2699</v>
      </c>
      <c r="BM651" s="83" t="s">
        <v>2698</v>
      </c>
      <c r="BN651" s="83" t="s">
        <v>2696</v>
      </c>
      <c r="BO651" s="83" t="s">
        <v>2697</v>
      </c>
      <c r="BP651" s="83" t="s">
        <v>2698</v>
      </c>
      <c r="BQ651" s="83" t="s">
        <v>2693</v>
      </c>
      <c r="BR651" s="83" t="s">
        <v>2693</v>
      </c>
      <c r="BS651" s="83" t="s">
        <v>2699</v>
      </c>
      <c r="BT651" s="83">
        <v>0</v>
      </c>
      <c r="BU651" s="83" t="s">
        <v>2699</v>
      </c>
      <c r="BV651" s="83" t="s">
        <v>2696</v>
      </c>
      <c r="BW651" s="83" t="s">
        <v>2698</v>
      </c>
      <c r="BX651" s="83" t="s">
        <v>2696</v>
      </c>
      <c r="BY651" s="83" t="s">
        <v>2699</v>
      </c>
      <c r="BZ651" s="83" t="s">
        <v>2699</v>
      </c>
      <c r="CA651" s="83" t="s">
        <v>2699</v>
      </c>
      <c r="CB651" s="83" t="s">
        <v>2696</v>
      </c>
      <c r="CC651" s="83" t="s">
        <v>2696</v>
      </c>
      <c r="CD651" s="83" t="s">
        <v>2696</v>
      </c>
      <c r="CF651" s="83" t="s">
        <v>2151</v>
      </c>
      <c r="CG651" s="83" t="s">
        <v>2152</v>
      </c>
      <c r="CH651" s="83" t="s">
        <v>2693</v>
      </c>
      <c r="CI651" s="83" t="s">
        <v>3992</v>
      </c>
      <c r="CJ651" s="83" t="s">
        <v>2701</v>
      </c>
      <c r="CK651" s="144">
        <v>0</v>
      </c>
      <c r="CL651" s="99">
        <v>154000</v>
      </c>
    </row>
    <row r="652" spans="1:90">
      <c r="A652" s="83" t="s">
        <v>1597</v>
      </c>
      <c r="B652" s="83" t="s">
        <v>1662</v>
      </c>
      <c r="D652" s="83" t="s">
        <v>688</v>
      </c>
      <c r="E652" s="83" t="s">
        <v>674</v>
      </c>
      <c r="F652" s="83" t="s">
        <v>1792</v>
      </c>
      <c r="G652" s="83" t="s">
        <v>1842</v>
      </c>
      <c r="H652" s="83" t="s">
        <v>1201</v>
      </c>
      <c r="I652" s="83" t="s">
        <v>1202</v>
      </c>
      <c r="J652" s="83" t="s">
        <v>1203</v>
      </c>
      <c r="K652" s="83" t="s">
        <v>565</v>
      </c>
      <c r="L652" s="83" t="s">
        <v>398</v>
      </c>
      <c r="M652" s="83" t="s">
        <v>399</v>
      </c>
      <c r="N652" s="83" t="s">
        <v>2719</v>
      </c>
      <c r="O652" s="83" t="s">
        <v>106</v>
      </c>
      <c r="P652" s="83">
        <v>1</v>
      </c>
      <c r="Q652" s="83" t="s">
        <v>106</v>
      </c>
      <c r="R652" s="83" t="s">
        <v>2727</v>
      </c>
      <c r="S652" s="83" t="s">
        <v>2822</v>
      </c>
      <c r="T652" s="83" t="s">
        <v>2720</v>
      </c>
      <c r="U652" s="83" t="s">
        <v>401</v>
      </c>
      <c r="AC652" s="83" t="s">
        <v>401</v>
      </c>
      <c r="AD652" s="83">
        <v>98000</v>
      </c>
      <c r="AF652" s="83">
        <v>0</v>
      </c>
      <c r="AJ652" s="83">
        <v>1</v>
      </c>
      <c r="AK652" s="83">
        <v>1</v>
      </c>
      <c r="AL652" s="83">
        <v>2400</v>
      </c>
      <c r="AM652" s="83" t="s">
        <v>2693</v>
      </c>
      <c r="BK652" s="83" t="s">
        <v>2694</v>
      </c>
      <c r="BL652" s="83" t="s">
        <v>2699</v>
      </c>
      <c r="BM652" s="83" t="s">
        <v>2697</v>
      </c>
      <c r="BN652" s="83" t="s">
        <v>2699</v>
      </c>
      <c r="BO652" s="83" t="s">
        <v>2697</v>
      </c>
      <c r="BP652" s="83" t="s">
        <v>2698</v>
      </c>
      <c r="BQ652" s="83" t="s">
        <v>2696</v>
      </c>
      <c r="BR652" s="83" t="s">
        <v>2693</v>
      </c>
      <c r="BS652" s="83" t="s">
        <v>2699</v>
      </c>
      <c r="BT652" s="83">
        <v>0</v>
      </c>
      <c r="BU652" s="83" t="s">
        <v>2699</v>
      </c>
      <c r="BV652" s="83" t="s">
        <v>2696</v>
      </c>
      <c r="BW652" s="83" t="s">
        <v>2697</v>
      </c>
      <c r="BX652" s="83" t="s">
        <v>2693</v>
      </c>
      <c r="BY652" s="83" t="s">
        <v>2699</v>
      </c>
      <c r="BZ652" s="83" t="s">
        <v>2699</v>
      </c>
      <c r="CA652" s="83" t="s">
        <v>2699</v>
      </c>
      <c r="CB652" s="83" t="s">
        <v>2694</v>
      </c>
      <c r="CC652" s="83" t="s">
        <v>2699</v>
      </c>
      <c r="CD652" s="83" t="s">
        <v>2696</v>
      </c>
      <c r="CF652" s="83" t="s">
        <v>2246</v>
      </c>
      <c r="CG652" s="83" t="s">
        <v>2247</v>
      </c>
      <c r="CH652" s="83" t="s">
        <v>2699</v>
      </c>
      <c r="CI652" s="83">
        <v>1</v>
      </c>
      <c r="CJ652" s="83" t="s">
        <v>2734</v>
      </c>
      <c r="CK652" s="144">
        <v>0</v>
      </c>
      <c r="CL652"/>
    </row>
    <row r="653" spans="1:90">
      <c r="A653" s="83" t="s">
        <v>1597</v>
      </c>
      <c r="B653" s="83" t="s">
        <v>1662</v>
      </c>
      <c r="D653" s="83" t="s">
        <v>673</v>
      </c>
      <c r="E653" s="83" t="s">
        <v>770</v>
      </c>
      <c r="F653" s="83" t="s">
        <v>1792</v>
      </c>
      <c r="G653" s="83" t="s">
        <v>1842</v>
      </c>
      <c r="H653" s="83" t="s">
        <v>1201</v>
      </c>
      <c r="I653" s="83" t="s">
        <v>1202</v>
      </c>
      <c r="J653" s="83" t="s">
        <v>1203</v>
      </c>
      <c r="K653" s="83" t="s">
        <v>565</v>
      </c>
      <c r="L653" s="83" t="s">
        <v>398</v>
      </c>
      <c r="M653" s="83" t="s">
        <v>399</v>
      </c>
      <c r="N653" s="83" t="s">
        <v>2719</v>
      </c>
      <c r="O653" s="83" t="s">
        <v>106</v>
      </c>
      <c r="P653" s="83">
        <v>1</v>
      </c>
      <c r="Q653" s="83" t="s">
        <v>106</v>
      </c>
      <c r="R653" s="83" t="s">
        <v>2789</v>
      </c>
      <c r="S653" s="83" t="s">
        <v>2822</v>
      </c>
      <c r="T653" s="83" t="s">
        <v>2720</v>
      </c>
      <c r="U653" s="83" t="s">
        <v>401</v>
      </c>
      <c r="AC653" s="83" t="s">
        <v>401</v>
      </c>
      <c r="AD653" s="83">
        <v>350000</v>
      </c>
      <c r="AF653" s="83">
        <v>0</v>
      </c>
      <c r="AJ653" s="83">
        <v>1</v>
      </c>
      <c r="AK653" s="83">
        <v>2</v>
      </c>
      <c r="AL653" s="83">
        <v>5640</v>
      </c>
      <c r="AM653" s="83" t="s">
        <v>2693</v>
      </c>
      <c r="BK653" s="83" t="s">
        <v>2694</v>
      </c>
      <c r="BL653" s="83" t="s">
        <v>2699</v>
      </c>
      <c r="BM653" s="83" t="s">
        <v>2697</v>
      </c>
      <c r="BN653" s="83" t="s">
        <v>2699</v>
      </c>
      <c r="BO653" s="83" t="s">
        <v>2697</v>
      </c>
      <c r="BP653" s="83" t="s">
        <v>2698</v>
      </c>
      <c r="BQ653" s="83" t="s">
        <v>2696</v>
      </c>
      <c r="BR653" s="83" t="s">
        <v>2693</v>
      </c>
      <c r="BS653" s="83" t="s">
        <v>2699</v>
      </c>
      <c r="BT653" s="83">
        <v>0</v>
      </c>
      <c r="BU653" s="83" t="s">
        <v>2699</v>
      </c>
      <c r="BV653" s="83" t="s">
        <v>2696</v>
      </c>
      <c r="BW653" s="83" t="s">
        <v>2697</v>
      </c>
      <c r="BX653" s="83" t="s">
        <v>2693</v>
      </c>
      <c r="BY653" s="83" t="s">
        <v>2699</v>
      </c>
      <c r="BZ653" s="83" t="s">
        <v>2699</v>
      </c>
      <c r="CA653" s="83" t="s">
        <v>2699</v>
      </c>
      <c r="CB653" s="83" t="s">
        <v>2694</v>
      </c>
      <c r="CC653" s="83" t="s">
        <v>2699</v>
      </c>
      <c r="CD653" s="83" t="s">
        <v>2696</v>
      </c>
      <c r="CF653" s="83" t="s">
        <v>2248</v>
      </c>
      <c r="CG653" s="83" t="s">
        <v>2823</v>
      </c>
      <c r="CH653" s="83" t="s">
        <v>2699</v>
      </c>
      <c r="CI653" s="83">
        <v>1</v>
      </c>
      <c r="CJ653" s="83" t="s">
        <v>2734</v>
      </c>
      <c r="CK653" s="144">
        <v>0</v>
      </c>
      <c r="CL653"/>
    </row>
    <row r="654" spans="1:90">
      <c r="A654" s="83" t="s">
        <v>1219</v>
      </c>
      <c r="B654" s="83" t="s">
        <v>1246</v>
      </c>
      <c r="D654" s="83" t="s">
        <v>688</v>
      </c>
      <c r="E654" s="83" t="s">
        <v>679</v>
      </c>
      <c r="F654" s="83" t="s">
        <v>1309</v>
      </c>
      <c r="G654" s="83" t="s">
        <v>1310</v>
      </c>
      <c r="H654" s="83" t="s">
        <v>1201</v>
      </c>
      <c r="I654" s="83" t="s">
        <v>1202</v>
      </c>
      <c r="J654" s="83" t="s">
        <v>1203</v>
      </c>
      <c r="K654" s="83" t="s">
        <v>565</v>
      </c>
      <c r="L654" s="83" t="s">
        <v>398</v>
      </c>
      <c r="M654" s="83" t="s">
        <v>399</v>
      </c>
      <c r="N654" s="83" t="s">
        <v>2752</v>
      </c>
      <c r="O654" s="83" t="s">
        <v>106</v>
      </c>
      <c r="P654" s="83">
        <v>5</v>
      </c>
      <c r="Q654" s="83" t="s">
        <v>106</v>
      </c>
      <c r="R654" s="83" t="s">
        <v>2691</v>
      </c>
      <c r="S654" s="83" t="s">
        <v>1456</v>
      </c>
      <c r="T654" s="83" t="s">
        <v>2703</v>
      </c>
      <c r="U654" s="83" t="s">
        <v>401</v>
      </c>
      <c r="AC654" s="83" t="s">
        <v>401</v>
      </c>
      <c r="AD654" s="83">
        <v>343504000</v>
      </c>
      <c r="AF654" s="83">
        <v>861000</v>
      </c>
      <c r="AJ654" s="83">
        <v>1</v>
      </c>
      <c r="AK654" s="83">
        <v>4</v>
      </c>
      <c r="AL654" s="83">
        <v>174400</v>
      </c>
      <c r="AM654" s="83" t="s">
        <v>2693</v>
      </c>
      <c r="BK654" s="83" t="s">
        <v>2694</v>
      </c>
      <c r="BL654" s="83" t="s">
        <v>2696</v>
      </c>
      <c r="BM654" s="83" t="s">
        <v>2693</v>
      </c>
      <c r="BN654" s="83" t="s">
        <v>2698</v>
      </c>
      <c r="BO654" s="83" t="s">
        <v>2697</v>
      </c>
      <c r="BP654" s="83" t="s">
        <v>2693</v>
      </c>
      <c r="BQ654" s="83" t="s">
        <v>2699</v>
      </c>
      <c r="BR654" s="83" t="s">
        <v>2693</v>
      </c>
      <c r="BS654" s="83" t="s">
        <v>2699</v>
      </c>
      <c r="BT654" s="83" t="s">
        <v>2696</v>
      </c>
      <c r="BU654" s="83" t="s">
        <v>2699</v>
      </c>
      <c r="BV654" s="83" t="s">
        <v>2693</v>
      </c>
      <c r="BW654" s="83" t="s">
        <v>2695</v>
      </c>
      <c r="BX654" s="83" t="s">
        <v>2696</v>
      </c>
      <c r="BY654" s="83" t="s">
        <v>2699</v>
      </c>
      <c r="BZ654" s="83" t="s">
        <v>2699</v>
      </c>
      <c r="CA654" s="83" t="s">
        <v>2696</v>
      </c>
      <c r="CB654" s="83" t="s">
        <v>2696</v>
      </c>
      <c r="CC654" s="83" t="s">
        <v>2699</v>
      </c>
      <c r="CD654" s="83" t="s">
        <v>2699</v>
      </c>
      <c r="CF654" s="83" t="s">
        <v>1375</v>
      </c>
      <c r="CG654" s="83" t="s">
        <v>1376</v>
      </c>
      <c r="CH654" s="83" t="s">
        <v>2725</v>
      </c>
      <c r="CI654" s="83" t="s">
        <v>778</v>
      </c>
      <c r="CJ654" s="83" t="s">
        <v>2780</v>
      </c>
      <c r="CK654" s="144">
        <v>0</v>
      </c>
      <c r="CL654" s="99">
        <v>3615000</v>
      </c>
    </row>
    <row r="655" spans="1:90">
      <c r="A655" s="83" t="s">
        <v>1219</v>
      </c>
      <c r="B655" s="83" t="s">
        <v>1246</v>
      </c>
      <c r="D655" s="83" t="s">
        <v>673</v>
      </c>
      <c r="E655" s="83" t="s">
        <v>681</v>
      </c>
      <c r="F655" s="83" t="s">
        <v>1293</v>
      </c>
      <c r="G655" s="83" t="s">
        <v>1311</v>
      </c>
      <c r="H655" s="83" t="s">
        <v>1201</v>
      </c>
      <c r="I655" s="83" t="s">
        <v>1202</v>
      </c>
      <c r="J655" s="83" t="s">
        <v>1203</v>
      </c>
      <c r="K655" s="83" t="s">
        <v>565</v>
      </c>
      <c r="L655" s="83" t="s">
        <v>398</v>
      </c>
      <c r="M655" s="83" t="s">
        <v>399</v>
      </c>
      <c r="N655" s="83" t="s">
        <v>2752</v>
      </c>
      <c r="O655" s="83" t="s">
        <v>106</v>
      </c>
      <c r="P655" s="83">
        <v>7</v>
      </c>
      <c r="Q655" s="83" t="s">
        <v>106</v>
      </c>
      <c r="R655" s="83" t="s">
        <v>2691</v>
      </c>
      <c r="S655" s="83" t="s">
        <v>1457</v>
      </c>
      <c r="T655" s="83" t="s">
        <v>2703</v>
      </c>
      <c r="U655" s="83" t="s">
        <v>401</v>
      </c>
      <c r="AC655" s="83" t="s">
        <v>401</v>
      </c>
      <c r="AD655" s="83">
        <v>168239000</v>
      </c>
      <c r="AF655" s="83">
        <v>4724000</v>
      </c>
      <c r="AJ655" s="83">
        <v>1</v>
      </c>
      <c r="AK655" s="83">
        <v>4</v>
      </c>
      <c r="AL655" s="83">
        <v>478263</v>
      </c>
      <c r="AM655" s="83" t="s">
        <v>2693</v>
      </c>
      <c r="BK655" s="83" t="s">
        <v>2694</v>
      </c>
      <c r="BL655" s="83" t="s">
        <v>2697</v>
      </c>
      <c r="BM655" s="83" t="s">
        <v>2693</v>
      </c>
      <c r="BN655" s="83" t="s">
        <v>2698</v>
      </c>
      <c r="BO655" s="83" t="s">
        <v>2693</v>
      </c>
      <c r="BP655" s="83" t="s">
        <v>2697</v>
      </c>
      <c r="BQ655" s="83" t="s">
        <v>2699</v>
      </c>
      <c r="BR655" s="83" t="s">
        <v>2693</v>
      </c>
      <c r="BS655" s="83" t="s">
        <v>2699</v>
      </c>
      <c r="BT655" s="83" t="s">
        <v>2696</v>
      </c>
      <c r="BU655" s="83" t="s">
        <v>2699</v>
      </c>
      <c r="BV655" s="83" t="s">
        <v>2693</v>
      </c>
      <c r="BW655" s="83" t="s">
        <v>2699</v>
      </c>
      <c r="BX655" s="83" t="s">
        <v>2696</v>
      </c>
      <c r="BY655" s="83" t="s">
        <v>2699</v>
      </c>
      <c r="BZ655" s="83" t="s">
        <v>2693</v>
      </c>
      <c r="CA655" s="83" t="s">
        <v>2696</v>
      </c>
      <c r="CB655" s="83">
        <v>1</v>
      </c>
      <c r="CC655" s="83" t="s">
        <v>2699</v>
      </c>
      <c r="CD655" s="83" t="s">
        <v>2699</v>
      </c>
      <c r="CF655" s="83" t="s">
        <v>1377</v>
      </c>
      <c r="CG655" s="83" t="s">
        <v>1378</v>
      </c>
      <c r="CH655" s="83" t="s">
        <v>2698</v>
      </c>
      <c r="CI655" s="83" t="s">
        <v>2009</v>
      </c>
      <c r="CJ655" s="83">
        <v>135</v>
      </c>
      <c r="CK655" s="144">
        <v>0</v>
      </c>
      <c r="CL655"/>
    </row>
    <row r="656" spans="1:90">
      <c r="A656" s="83" t="s">
        <v>1219</v>
      </c>
      <c r="B656" s="83" t="s">
        <v>1246</v>
      </c>
      <c r="D656" s="83" t="s">
        <v>714</v>
      </c>
      <c r="E656" s="83" t="s">
        <v>1268</v>
      </c>
      <c r="F656" s="83" t="s">
        <v>1312</v>
      </c>
      <c r="G656" s="83" t="s">
        <v>1311</v>
      </c>
      <c r="H656" s="83" t="s">
        <v>1201</v>
      </c>
      <c r="I656" s="83" t="s">
        <v>1202</v>
      </c>
      <c r="J656" s="83" t="s">
        <v>1203</v>
      </c>
      <c r="K656" s="83" t="s">
        <v>565</v>
      </c>
      <c r="L656" s="83" t="s">
        <v>398</v>
      </c>
      <c r="M656" s="83" t="s">
        <v>399</v>
      </c>
      <c r="N656" s="83" t="s">
        <v>2752</v>
      </c>
      <c r="O656" s="83" t="s">
        <v>106</v>
      </c>
      <c r="P656" s="83">
        <v>5</v>
      </c>
      <c r="Q656" s="83" t="s">
        <v>106</v>
      </c>
      <c r="R656" s="83" t="s">
        <v>2691</v>
      </c>
      <c r="S656" s="83" t="s">
        <v>1457</v>
      </c>
      <c r="T656" s="83" t="s">
        <v>2703</v>
      </c>
      <c r="U656" s="83" t="s">
        <v>401</v>
      </c>
      <c r="AC656" s="83" t="s">
        <v>401</v>
      </c>
      <c r="AD656" s="83">
        <v>32314000</v>
      </c>
      <c r="AF656" s="83">
        <v>1295000</v>
      </c>
      <c r="AJ656" s="83">
        <v>1</v>
      </c>
      <c r="AK656" s="83">
        <v>3</v>
      </c>
      <c r="AL656" s="83">
        <v>131095</v>
      </c>
      <c r="AM656" s="83" t="s">
        <v>2693</v>
      </c>
      <c r="BK656" s="83" t="s">
        <v>2694</v>
      </c>
      <c r="BL656" s="83" t="s">
        <v>2693</v>
      </c>
      <c r="BM656" s="83" t="s">
        <v>2698</v>
      </c>
      <c r="BN656" s="83" t="s">
        <v>2698</v>
      </c>
      <c r="BO656" s="83" t="s">
        <v>2693</v>
      </c>
      <c r="BP656" s="83" t="s">
        <v>2697</v>
      </c>
      <c r="BQ656" s="83" t="s">
        <v>2699</v>
      </c>
      <c r="BR656" s="83" t="s">
        <v>2693</v>
      </c>
      <c r="BS656" s="83" t="s">
        <v>2699</v>
      </c>
      <c r="BT656" s="83" t="s">
        <v>2696</v>
      </c>
      <c r="BU656" s="83" t="s">
        <v>2699</v>
      </c>
      <c r="BV656" s="83" t="s">
        <v>2699</v>
      </c>
      <c r="BW656" s="83" t="s">
        <v>2699</v>
      </c>
      <c r="BX656" s="83" t="s">
        <v>2696</v>
      </c>
      <c r="BY656" s="83" t="s">
        <v>2699</v>
      </c>
      <c r="BZ656" s="83" t="s">
        <v>2693</v>
      </c>
      <c r="CA656" s="83" t="s">
        <v>2693</v>
      </c>
      <c r="CB656" s="83" t="s">
        <v>2696</v>
      </c>
      <c r="CC656" s="83" t="s">
        <v>2699</v>
      </c>
      <c r="CD656" s="83" t="s">
        <v>2699</v>
      </c>
      <c r="CF656" s="83" t="s">
        <v>1379</v>
      </c>
      <c r="CG656" s="83" t="s">
        <v>1380</v>
      </c>
      <c r="CH656" s="83" t="s">
        <v>2725</v>
      </c>
      <c r="CI656" s="83" t="s">
        <v>1358</v>
      </c>
      <c r="CJ656" s="83" t="s">
        <v>2726</v>
      </c>
      <c r="CK656" s="144">
        <v>0</v>
      </c>
      <c r="CL656"/>
    </row>
    <row r="657" spans="1:90">
      <c r="A657" s="83" t="s">
        <v>1219</v>
      </c>
      <c r="B657" s="83" t="s">
        <v>1246</v>
      </c>
      <c r="D657" s="83" t="s">
        <v>716</v>
      </c>
      <c r="E657" s="83" t="s">
        <v>1269</v>
      </c>
      <c r="F657" s="83" t="s">
        <v>1312</v>
      </c>
      <c r="G657" s="83" t="s">
        <v>1310</v>
      </c>
      <c r="H657" s="83" t="s">
        <v>1201</v>
      </c>
      <c r="I657" s="83" t="s">
        <v>1202</v>
      </c>
      <c r="J657" s="83" t="s">
        <v>1203</v>
      </c>
      <c r="K657" s="83" t="s">
        <v>565</v>
      </c>
      <c r="L657" s="83" t="s">
        <v>398</v>
      </c>
      <c r="M657" s="83" t="s">
        <v>399</v>
      </c>
      <c r="N657" s="83" t="s">
        <v>2752</v>
      </c>
      <c r="O657" s="83" t="s">
        <v>106</v>
      </c>
      <c r="P657" s="83">
        <v>5</v>
      </c>
      <c r="Q657" s="83" t="s">
        <v>106</v>
      </c>
      <c r="R657" s="83" t="s">
        <v>2808</v>
      </c>
      <c r="S657" s="83" t="s">
        <v>1449</v>
      </c>
      <c r="T657" s="83" t="s">
        <v>2703</v>
      </c>
      <c r="U657" s="83" t="s">
        <v>401</v>
      </c>
      <c r="AC657" s="83" t="s">
        <v>401</v>
      </c>
      <c r="AD657" s="83">
        <v>16275000</v>
      </c>
      <c r="AF657" s="83">
        <v>0</v>
      </c>
      <c r="AJ657" s="83">
        <v>1</v>
      </c>
      <c r="AK657" s="83">
        <v>4</v>
      </c>
      <c r="AL657" s="83">
        <v>360024</v>
      </c>
      <c r="AM657" s="83" t="s">
        <v>2693</v>
      </c>
      <c r="BK657" s="83" t="s">
        <v>2694</v>
      </c>
      <c r="BL657" s="83" t="s">
        <v>2696</v>
      </c>
      <c r="BM657" s="83" t="s">
        <v>2699</v>
      </c>
      <c r="BN657" s="83" t="s">
        <v>2698</v>
      </c>
      <c r="BO657" s="83" t="s">
        <v>2693</v>
      </c>
      <c r="BP657" s="83" t="s">
        <v>2699</v>
      </c>
      <c r="BQ657" s="83" t="s">
        <v>2699</v>
      </c>
      <c r="BR657" s="83" t="s">
        <v>2699</v>
      </c>
      <c r="BS657" s="83" t="s">
        <v>2699</v>
      </c>
      <c r="BT657" s="83" t="s">
        <v>2696</v>
      </c>
      <c r="BU657" s="83" t="s">
        <v>2699</v>
      </c>
      <c r="BV657" s="83" t="s">
        <v>2696</v>
      </c>
      <c r="BW657" s="83" t="s">
        <v>2695</v>
      </c>
      <c r="BX657" s="83" t="s">
        <v>2696</v>
      </c>
      <c r="BY657" s="83" t="s">
        <v>2699</v>
      </c>
      <c r="BZ657" s="83" t="s">
        <v>2699</v>
      </c>
      <c r="CA657" s="83" t="s">
        <v>2696</v>
      </c>
      <c r="CB657" s="83">
        <v>9</v>
      </c>
      <c r="CC657" s="83" t="s">
        <v>2699</v>
      </c>
      <c r="CD657" s="83" t="s">
        <v>2696</v>
      </c>
      <c r="CF657" s="83" t="s">
        <v>1381</v>
      </c>
      <c r="CG657" s="83" t="s">
        <v>1382</v>
      </c>
      <c r="CH657" s="83" t="s">
        <v>2725</v>
      </c>
      <c r="CI657" s="83" t="s">
        <v>778</v>
      </c>
      <c r="CJ657" s="83" t="s">
        <v>2780</v>
      </c>
      <c r="CK657" s="144">
        <v>0</v>
      </c>
      <c r="CL657"/>
    </row>
    <row r="658" spans="1:90">
      <c r="A658" s="83" t="s">
        <v>1219</v>
      </c>
      <c r="B658" s="83" t="s">
        <v>1246</v>
      </c>
      <c r="D658" s="83" t="s">
        <v>717</v>
      </c>
      <c r="E658" s="83" t="s">
        <v>1270</v>
      </c>
      <c r="F658" s="83" t="s">
        <v>1312</v>
      </c>
      <c r="G658" s="83" t="s">
        <v>1311</v>
      </c>
      <c r="H658" s="83" t="s">
        <v>1201</v>
      </c>
      <c r="I658" s="83" t="s">
        <v>1202</v>
      </c>
      <c r="J658" s="83" t="s">
        <v>1203</v>
      </c>
      <c r="K658" s="83" t="s">
        <v>565</v>
      </c>
      <c r="L658" s="83" t="s">
        <v>398</v>
      </c>
      <c r="M658" s="83" t="s">
        <v>399</v>
      </c>
      <c r="N658" s="83" t="s">
        <v>2752</v>
      </c>
      <c r="O658" s="83" t="s">
        <v>106</v>
      </c>
      <c r="P658" s="83">
        <v>8</v>
      </c>
      <c r="Q658" s="83" t="s">
        <v>106</v>
      </c>
      <c r="R658" s="83" t="s">
        <v>2691</v>
      </c>
      <c r="S658" s="83" t="s">
        <v>1457</v>
      </c>
      <c r="T658" s="83" t="s">
        <v>2703</v>
      </c>
      <c r="U658" s="83" t="s">
        <v>401</v>
      </c>
      <c r="AC658" s="83" t="s">
        <v>401</v>
      </c>
      <c r="AD658" s="83">
        <v>441000</v>
      </c>
      <c r="AF658" s="83">
        <v>38000</v>
      </c>
      <c r="AJ658" s="83">
        <v>1</v>
      </c>
      <c r="AK658" s="83">
        <v>1</v>
      </c>
      <c r="AL658" s="83">
        <v>2944</v>
      </c>
      <c r="AM658" s="83" t="s">
        <v>2693</v>
      </c>
      <c r="BK658" s="83" t="s">
        <v>2694</v>
      </c>
      <c r="BL658" s="83" t="s">
        <v>2693</v>
      </c>
      <c r="BM658" s="83" t="s">
        <v>2697</v>
      </c>
      <c r="BN658" s="83" t="s">
        <v>2698</v>
      </c>
      <c r="BO658" s="83" t="s">
        <v>2693</v>
      </c>
      <c r="BP658" s="83" t="s">
        <v>2697</v>
      </c>
      <c r="BQ658" s="83" t="s">
        <v>2699</v>
      </c>
      <c r="BR658" s="83" t="s">
        <v>2693</v>
      </c>
      <c r="BS658" s="83" t="s">
        <v>2699</v>
      </c>
      <c r="BT658" s="83" t="s">
        <v>2696</v>
      </c>
      <c r="BU658" s="83" t="s">
        <v>2699</v>
      </c>
      <c r="BV658" s="83" t="s">
        <v>2696</v>
      </c>
      <c r="BW658" s="83" t="s">
        <v>2699</v>
      </c>
      <c r="BX658" s="83" t="s">
        <v>2696</v>
      </c>
      <c r="BY658" s="83" t="s">
        <v>2699</v>
      </c>
      <c r="BZ658" s="83" t="s">
        <v>2693</v>
      </c>
      <c r="CA658" s="83" t="s">
        <v>2699</v>
      </c>
      <c r="CB658" s="83">
        <v>9</v>
      </c>
      <c r="CC658" s="83" t="s">
        <v>2699</v>
      </c>
      <c r="CD658" s="83" t="s">
        <v>2696</v>
      </c>
      <c r="CF658" s="83" t="s">
        <v>1383</v>
      </c>
      <c r="CG658" s="83" t="s">
        <v>1384</v>
      </c>
      <c r="CH658" s="83" t="s">
        <v>2695</v>
      </c>
      <c r="CI658" s="83" t="s">
        <v>648</v>
      </c>
      <c r="CJ658" s="83" t="s">
        <v>2726</v>
      </c>
      <c r="CK658" s="144">
        <v>0</v>
      </c>
      <c r="CL658"/>
    </row>
    <row r="659" spans="1:90">
      <c r="A659" s="83" t="s">
        <v>1220</v>
      </c>
      <c r="B659" s="83" t="s">
        <v>682</v>
      </c>
      <c r="D659" s="83" t="s">
        <v>688</v>
      </c>
      <c r="E659" s="83" t="s">
        <v>1271</v>
      </c>
      <c r="F659" s="83" t="s">
        <v>1313</v>
      </c>
      <c r="G659" s="83" t="s">
        <v>1314</v>
      </c>
      <c r="H659" s="83" t="s">
        <v>1201</v>
      </c>
      <c r="I659" s="83" t="s">
        <v>1202</v>
      </c>
      <c r="J659" s="83" t="s">
        <v>1203</v>
      </c>
      <c r="K659" s="83" t="s">
        <v>565</v>
      </c>
      <c r="L659" s="83" t="s">
        <v>398</v>
      </c>
      <c r="M659" s="83" t="s">
        <v>399</v>
      </c>
      <c r="N659" s="83" t="s">
        <v>2752</v>
      </c>
      <c r="O659" s="83" t="s">
        <v>106</v>
      </c>
      <c r="P659" s="83">
        <v>7</v>
      </c>
      <c r="Q659" s="83" t="s">
        <v>106</v>
      </c>
      <c r="R659" s="83" t="s">
        <v>2730</v>
      </c>
      <c r="S659" s="83" t="s">
        <v>1458</v>
      </c>
      <c r="T659" s="83" t="s">
        <v>2703</v>
      </c>
      <c r="U659" s="83" t="s">
        <v>401</v>
      </c>
      <c r="AC659" s="83" t="s">
        <v>401</v>
      </c>
      <c r="AD659" s="83">
        <v>120555000</v>
      </c>
      <c r="AF659" s="83">
        <v>13293000</v>
      </c>
      <c r="AJ659" s="83">
        <v>1</v>
      </c>
      <c r="AK659" s="83">
        <v>10</v>
      </c>
      <c r="AL659" s="83">
        <v>598775</v>
      </c>
      <c r="AM659" s="83" t="s">
        <v>2693</v>
      </c>
      <c r="BK659" s="83" t="s">
        <v>2694</v>
      </c>
      <c r="BL659" s="83" t="s">
        <v>2695</v>
      </c>
      <c r="BM659" s="83" t="s">
        <v>2699</v>
      </c>
      <c r="BN659" s="83" t="s">
        <v>2698</v>
      </c>
      <c r="BO659" s="83" t="s">
        <v>2697</v>
      </c>
      <c r="BP659" s="83" t="s">
        <v>2697</v>
      </c>
      <c r="BQ659" s="83" t="s">
        <v>2699</v>
      </c>
      <c r="BR659" s="83" t="s">
        <v>2699</v>
      </c>
      <c r="BS659" s="83" t="s">
        <v>2699</v>
      </c>
      <c r="BT659" s="83" t="s">
        <v>2696</v>
      </c>
      <c r="BU659" s="83" t="s">
        <v>2695</v>
      </c>
      <c r="BV659" s="83" t="s">
        <v>2696</v>
      </c>
      <c r="BW659" s="83" t="s">
        <v>2695</v>
      </c>
      <c r="BX659" s="83" t="s">
        <v>2696</v>
      </c>
      <c r="BY659" s="83" t="s">
        <v>2699</v>
      </c>
      <c r="BZ659" s="83" t="s">
        <v>2699</v>
      </c>
      <c r="CA659" s="83" t="s">
        <v>2696</v>
      </c>
      <c r="CB659" s="83">
        <v>9</v>
      </c>
      <c r="CC659" s="83" t="s">
        <v>2699</v>
      </c>
      <c r="CD659" s="83" t="s">
        <v>2699</v>
      </c>
      <c r="CF659" s="83" t="s">
        <v>1385</v>
      </c>
      <c r="CG659" s="83" t="s">
        <v>1386</v>
      </c>
      <c r="CH659" s="83" t="s">
        <v>2698</v>
      </c>
      <c r="CI659" s="83" t="s">
        <v>2009</v>
      </c>
      <c r="CJ659" s="83">
        <v>135</v>
      </c>
      <c r="CK659" s="144">
        <v>0</v>
      </c>
      <c r="CL659"/>
    </row>
    <row r="660" spans="1:90">
      <c r="A660" s="83" t="s">
        <v>1221</v>
      </c>
      <c r="B660" s="83" t="s">
        <v>1247</v>
      </c>
      <c r="D660" s="83" t="s">
        <v>688</v>
      </c>
      <c r="E660" s="83" t="s">
        <v>1272</v>
      </c>
      <c r="F660" s="83" t="s">
        <v>1315</v>
      </c>
      <c r="G660" s="83" t="s">
        <v>1316</v>
      </c>
      <c r="H660" s="83" t="s">
        <v>1201</v>
      </c>
      <c r="I660" s="83" t="s">
        <v>1202</v>
      </c>
      <c r="J660" s="83" t="s">
        <v>1203</v>
      </c>
      <c r="K660" s="83" t="s">
        <v>565</v>
      </c>
      <c r="L660" s="83" t="s">
        <v>398</v>
      </c>
      <c r="M660" s="83" t="s">
        <v>399</v>
      </c>
      <c r="N660" s="83" t="s">
        <v>2752</v>
      </c>
      <c r="O660" s="83" t="s">
        <v>106</v>
      </c>
      <c r="P660" s="83">
        <v>7</v>
      </c>
      <c r="Q660" s="83" t="s">
        <v>106</v>
      </c>
      <c r="R660" s="83" t="s">
        <v>2799</v>
      </c>
      <c r="S660" s="83" t="s">
        <v>1459</v>
      </c>
      <c r="T660" s="83" t="s">
        <v>2703</v>
      </c>
      <c r="U660" s="83" t="s">
        <v>401</v>
      </c>
      <c r="AC660" s="83" t="s">
        <v>401</v>
      </c>
      <c r="AD660" s="83">
        <v>272187000</v>
      </c>
      <c r="AF660" s="83">
        <v>8899000</v>
      </c>
      <c r="AJ660" s="83">
        <v>1</v>
      </c>
      <c r="AK660" s="83">
        <v>7</v>
      </c>
      <c r="AL660" s="83">
        <v>801728</v>
      </c>
      <c r="AM660" s="83" t="s">
        <v>2693</v>
      </c>
      <c r="BK660" s="83" t="s">
        <v>2694</v>
      </c>
      <c r="BL660" s="83" t="s">
        <v>2697</v>
      </c>
      <c r="BM660" s="83" t="s">
        <v>2699</v>
      </c>
      <c r="BN660" s="83" t="s">
        <v>2698</v>
      </c>
      <c r="BO660" s="83" t="s">
        <v>2699</v>
      </c>
      <c r="BP660" s="83" t="s">
        <v>2697</v>
      </c>
      <c r="BQ660" s="83" t="s">
        <v>2699</v>
      </c>
      <c r="BR660" s="83" t="s">
        <v>2693</v>
      </c>
      <c r="BS660" s="83" t="s">
        <v>2699</v>
      </c>
      <c r="BT660" s="83" t="s">
        <v>2696</v>
      </c>
      <c r="BU660" s="83" t="s">
        <v>2699</v>
      </c>
      <c r="BV660" s="83" t="s">
        <v>2696</v>
      </c>
      <c r="BW660" s="83" t="s">
        <v>2695</v>
      </c>
      <c r="BX660" s="83" t="s">
        <v>2696</v>
      </c>
      <c r="BY660" s="83" t="s">
        <v>2699</v>
      </c>
      <c r="BZ660" s="83" t="s">
        <v>2693</v>
      </c>
      <c r="CA660" s="83" t="s">
        <v>2696</v>
      </c>
      <c r="CB660" s="83">
        <v>8</v>
      </c>
      <c r="CC660" s="83" t="s">
        <v>2699</v>
      </c>
      <c r="CD660" s="83" t="s">
        <v>2699</v>
      </c>
      <c r="CF660" s="83" t="s">
        <v>1387</v>
      </c>
      <c r="CG660" s="83" t="s">
        <v>1388</v>
      </c>
      <c r="CH660" s="83" t="s">
        <v>2698</v>
      </c>
      <c r="CI660" s="83" t="s">
        <v>2009</v>
      </c>
      <c r="CJ660" s="83">
        <v>135</v>
      </c>
      <c r="CK660" s="144">
        <v>0</v>
      </c>
      <c r="CL660" s="99">
        <v>20000</v>
      </c>
    </row>
    <row r="661" spans="1:90">
      <c r="A661" s="83" t="s">
        <v>1222</v>
      </c>
      <c r="B661" s="83" t="s">
        <v>1248</v>
      </c>
      <c r="D661" s="83" t="s">
        <v>688</v>
      </c>
      <c r="E661" s="83" t="s">
        <v>1273</v>
      </c>
      <c r="F661" s="83" t="s">
        <v>1317</v>
      </c>
      <c r="G661" s="83" t="s">
        <v>1318</v>
      </c>
      <c r="H661" s="83" t="s">
        <v>1201</v>
      </c>
      <c r="I661" s="83" t="s">
        <v>1202</v>
      </c>
      <c r="J661" s="83" t="s">
        <v>1203</v>
      </c>
      <c r="K661" s="83" t="s">
        <v>565</v>
      </c>
      <c r="L661" s="83" t="s">
        <v>398</v>
      </c>
      <c r="M661" s="83" t="s">
        <v>399</v>
      </c>
      <c r="N661" s="83" t="s">
        <v>3455</v>
      </c>
      <c r="O661" s="83" t="s">
        <v>106</v>
      </c>
      <c r="P661" s="83">
        <v>1</v>
      </c>
      <c r="Q661" s="83" t="s">
        <v>106</v>
      </c>
      <c r="R661" s="83" t="s">
        <v>3718</v>
      </c>
      <c r="S661" s="83" t="s">
        <v>1446</v>
      </c>
      <c r="T661" s="83" t="s">
        <v>2703</v>
      </c>
      <c r="U661" s="83" t="s">
        <v>401</v>
      </c>
      <c r="AC661" s="83" t="s">
        <v>401</v>
      </c>
      <c r="AD661" s="83">
        <v>103000</v>
      </c>
      <c r="AF661" s="83">
        <v>0</v>
      </c>
      <c r="AJ661" s="83">
        <v>1</v>
      </c>
      <c r="AK661" s="83">
        <v>1</v>
      </c>
      <c r="AL661" s="83">
        <v>1950</v>
      </c>
      <c r="AM661" s="83" t="s">
        <v>2693</v>
      </c>
      <c r="BK661" s="83" t="s">
        <v>2694</v>
      </c>
      <c r="BL661" s="83" t="s">
        <v>2704</v>
      </c>
      <c r="BM661" s="83" t="s">
        <v>2698</v>
      </c>
      <c r="BN661" s="83" t="s">
        <v>2696</v>
      </c>
      <c r="BO661" s="83" t="s">
        <v>2697</v>
      </c>
      <c r="BP661" s="83" t="s">
        <v>2698</v>
      </c>
      <c r="BQ661" s="83" t="s">
        <v>2696</v>
      </c>
      <c r="BR661" s="83" t="s">
        <v>2693</v>
      </c>
      <c r="BS661" s="83" t="s">
        <v>2699</v>
      </c>
      <c r="BT661" s="83" t="s">
        <v>2696</v>
      </c>
      <c r="BU661" s="83" t="s">
        <v>2699</v>
      </c>
      <c r="BV661" s="83" t="s">
        <v>2696</v>
      </c>
      <c r="BW661" s="83" t="s">
        <v>2704</v>
      </c>
      <c r="BX661" s="83" t="s">
        <v>2696</v>
      </c>
      <c r="BY661" s="83" t="s">
        <v>2693</v>
      </c>
      <c r="BZ661" s="83" t="s">
        <v>2693</v>
      </c>
      <c r="CA661" s="83" t="s">
        <v>2697</v>
      </c>
      <c r="CB661" s="83" t="s">
        <v>2694</v>
      </c>
      <c r="CC661" s="83" t="s">
        <v>2693</v>
      </c>
      <c r="CD661" s="83" t="s">
        <v>2696</v>
      </c>
      <c r="CF661" s="83" t="s">
        <v>1389</v>
      </c>
      <c r="CG661" s="83" t="s">
        <v>1390</v>
      </c>
      <c r="CH661" s="83" t="s">
        <v>2699</v>
      </c>
      <c r="CI661" s="79">
        <v>1</v>
      </c>
      <c r="CJ661" s="83" t="s">
        <v>2734</v>
      </c>
      <c r="CK661" s="144">
        <v>1</v>
      </c>
      <c r="CL661" s="99">
        <v>191000</v>
      </c>
    </row>
    <row r="662" spans="1:90">
      <c r="A662" s="83" t="s">
        <v>1222</v>
      </c>
      <c r="B662" s="83" t="s">
        <v>1248</v>
      </c>
      <c r="D662" s="83" t="s">
        <v>673</v>
      </c>
      <c r="E662" s="83" t="s">
        <v>894</v>
      </c>
      <c r="F662" s="83" t="s">
        <v>1317</v>
      </c>
      <c r="G662" s="83" t="s">
        <v>1318</v>
      </c>
      <c r="H662" s="83" t="s">
        <v>1201</v>
      </c>
      <c r="I662" s="83" t="s">
        <v>1202</v>
      </c>
      <c r="J662" s="83" t="s">
        <v>1203</v>
      </c>
      <c r="K662" s="83" t="s">
        <v>565</v>
      </c>
      <c r="L662" s="83" t="s">
        <v>398</v>
      </c>
      <c r="M662" s="83" t="s">
        <v>399</v>
      </c>
      <c r="N662" s="83" t="s">
        <v>3455</v>
      </c>
      <c r="O662" s="83" t="s">
        <v>106</v>
      </c>
      <c r="P662" s="83">
        <v>1</v>
      </c>
      <c r="Q662" s="83" t="s">
        <v>106</v>
      </c>
      <c r="R662" s="83" t="s">
        <v>2691</v>
      </c>
      <c r="S662" s="83" t="s">
        <v>1446</v>
      </c>
      <c r="T662" s="83" t="s">
        <v>2703</v>
      </c>
      <c r="U662" s="83" t="s">
        <v>401</v>
      </c>
      <c r="AC662" s="83" t="s">
        <v>401</v>
      </c>
      <c r="AD662" s="83">
        <v>82000</v>
      </c>
      <c r="AF662" s="83">
        <v>0</v>
      </c>
      <c r="AJ662" s="83">
        <v>1</v>
      </c>
      <c r="AK662" s="83">
        <v>1</v>
      </c>
      <c r="AL662" s="83">
        <v>384</v>
      </c>
      <c r="AM662" s="83" t="s">
        <v>2693</v>
      </c>
      <c r="BK662" s="83" t="s">
        <v>2694</v>
      </c>
      <c r="BL662" s="83" t="s">
        <v>2695</v>
      </c>
      <c r="BM662" s="83" t="s">
        <v>2693</v>
      </c>
      <c r="BN662" s="83" t="s">
        <v>2696</v>
      </c>
      <c r="BO662" s="83" t="s">
        <v>2697</v>
      </c>
      <c r="BP662" s="83" t="s">
        <v>2698</v>
      </c>
      <c r="BQ662" s="83" t="s">
        <v>2696</v>
      </c>
      <c r="BR662" s="83" t="s">
        <v>2693</v>
      </c>
      <c r="BS662" s="83" t="s">
        <v>2699</v>
      </c>
      <c r="BT662" s="83" t="s">
        <v>2696</v>
      </c>
      <c r="BU662" s="83" t="s">
        <v>2699</v>
      </c>
      <c r="BV662" s="83" t="s">
        <v>2696</v>
      </c>
      <c r="BW662" s="83" t="s">
        <v>2697</v>
      </c>
      <c r="BX662" s="83" t="s">
        <v>2696</v>
      </c>
      <c r="BY662" s="83" t="s">
        <v>2696</v>
      </c>
      <c r="BZ662" s="83" t="s">
        <v>2699</v>
      </c>
      <c r="CA662" s="83" t="s">
        <v>2699</v>
      </c>
      <c r="CB662" s="83">
        <v>9</v>
      </c>
      <c r="CC662" s="83" t="s">
        <v>2693</v>
      </c>
      <c r="CD662" s="83" t="s">
        <v>2696</v>
      </c>
      <c r="CF662" s="83" t="s">
        <v>1391</v>
      </c>
      <c r="CG662" s="83" t="s">
        <v>1392</v>
      </c>
      <c r="CH662" s="83" t="s">
        <v>2699</v>
      </c>
      <c r="CI662" s="79">
        <v>1</v>
      </c>
      <c r="CJ662" s="83" t="s">
        <v>2734</v>
      </c>
      <c r="CK662" s="144">
        <v>1</v>
      </c>
      <c r="CL662"/>
    </row>
    <row r="663" spans="1:90">
      <c r="A663" s="83" t="s">
        <v>1223</v>
      </c>
      <c r="B663" s="83" t="s">
        <v>677</v>
      </c>
      <c r="D663" s="83" t="s">
        <v>688</v>
      </c>
      <c r="E663" s="83" t="s">
        <v>677</v>
      </c>
      <c r="F663" s="83" t="s">
        <v>1319</v>
      </c>
      <c r="G663" s="83" t="s">
        <v>1320</v>
      </c>
      <c r="H663" s="83" t="s">
        <v>1201</v>
      </c>
      <c r="I663" s="83" t="s">
        <v>1202</v>
      </c>
      <c r="J663" s="83" t="s">
        <v>1203</v>
      </c>
      <c r="K663" s="83" t="s">
        <v>565</v>
      </c>
      <c r="L663" s="83" t="s">
        <v>398</v>
      </c>
      <c r="M663" s="83" t="s">
        <v>399</v>
      </c>
      <c r="N663" s="83" t="s">
        <v>3001</v>
      </c>
      <c r="O663" s="83" t="s">
        <v>106</v>
      </c>
      <c r="P663" s="83">
        <v>4</v>
      </c>
      <c r="Q663" s="83" t="s">
        <v>106</v>
      </c>
      <c r="R663" s="83" t="s">
        <v>2799</v>
      </c>
      <c r="S663" s="83" t="s">
        <v>1460</v>
      </c>
      <c r="T663" s="83" t="s">
        <v>2703</v>
      </c>
      <c r="U663" s="83" t="s">
        <v>401</v>
      </c>
      <c r="AC663" s="83" t="s">
        <v>401</v>
      </c>
      <c r="AD663" s="83">
        <v>429000</v>
      </c>
      <c r="AF663" s="83">
        <v>30000</v>
      </c>
      <c r="AJ663" s="83">
        <v>1</v>
      </c>
      <c r="AK663" s="83">
        <v>2</v>
      </c>
      <c r="AL663" s="83">
        <v>2660</v>
      </c>
      <c r="AM663" s="83" t="s">
        <v>2693</v>
      </c>
      <c r="BK663" s="83" t="s">
        <v>2694</v>
      </c>
      <c r="BL663" s="83" t="s">
        <v>2697</v>
      </c>
      <c r="BM663" s="83" t="s">
        <v>2693</v>
      </c>
      <c r="BN663" s="83" t="s">
        <v>2696</v>
      </c>
      <c r="BO663" s="83" t="s">
        <v>2697</v>
      </c>
      <c r="BP663" s="83" t="s">
        <v>2698</v>
      </c>
      <c r="BQ663" s="83" t="s">
        <v>2696</v>
      </c>
      <c r="BR663" s="83" t="s">
        <v>2693</v>
      </c>
      <c r="BS663" s="83" t="s">
        <v>2699</v>
      </c>
      <c r="BT663" s="83" t="s">
        <v>2696</v>
      </c>
      <c r="BU663" s="83" t="s">
        <v>2699</v>
      </c>
      <c r="BV663" s="83" t="s">
        <v>2693</v>
      </c>
      <c r="BW663" s="83" t="s">
        <v>2699</v>
      </c>
      <c r="BX663" s="83" t="s">
        <v>2696</v>
      </c>
      <c r="BY663" s="83" t="s">
        <v>2696</v>
      </c>
      <c r="BZ663" s="83" t="s">
        <v>2693</v>
      </c>
      <c r="CA663" s="83" t="s">
        <v>2697</v>
      </c>
      <c r="CB663" s="83">
        <v>1</v>
      </c>
      <c r="CC663" s="83" t="s">
        <v>2693</v>
      </c>
      <c r="CD663" s="83" t="s">
        <v>2696</v>
      </c>
      <c r="CF663" s="83" t="s">
        <v>1393</v>
      </c>
      <c r="CG663" s="83" t="s">
        <v>1394</v>
      </c>
      <c r="CH663" s="83" t="s">
        <v>2693</v>
      </c>
      <c r="CI663" s="83" t="s">
        <v>1395</v>
      </c>
      <c r="CJ663" s="83" t="s">
        <v>2701</v>
      </c>
      <c r="CK663" s="144">
        <v>0</v>
      </c>
      <c r="CL663" s="99">
        <v>3000</v>
      </c>
    </row>
    <row r="664" spans="1:90">
      <c r="A664" s="83" t="s">
        <v>1224</v>
      </c>
      <c r="B664" s="83" t="s">
        <v>1249</v>
      </c>
      <c r="D664" s="83" t="s">
        <v>688</v>
      </c>
      <c r="E664" s="83" t="s">
        <v>1012</v>
      </c>
      <c r="F664" s="83" t="s">
        <v>1321</v>
      </c>
      <c r="G664" s="83" t="s">
        <v>1322</v>
      </c>
      <c r="H664" s="83" t="s">
        <v>1201</v>
      </c>
      <c r="I664" s="83" t="s">
        <v>1202</v>
      </c>
      <c r="J664" s="83" t="s">
        <v>1203</v>
      </c>
      <c r="K664" s="83" t="s">
        <v>565</v>
      </c>
      <c r="L664" s="83" t="s">
        <v>398</v>
      </c>
      <c r="M664" s="83" t="s">
        <v>399</v>
      </c>
      <c r="N664" s="83" t="s">
        <v>3277</v>
      </c>
      <c r="O664" s="83" t="s">
        <v>106</v>
      </c>
      <c r="P664" s="83">
        <v>1</v>
      </c>
      <c r="Q664" s="83" t="s">
        <v>106</v>
      </c>
      <c r="R664" s="83" t="s">
        <v>2691</v>
      </c>
      <c r="S664" s="83" t="s">
        <v>1446</v>
      </c>
      <c r="T664" s="83" t="s">
        <v>2703</v>
      </c>
      <c r="U664" s="83" t="s">
        <v>401</v>
      </c>
      <c r="AC664" s="83" t="s">
        <v>401</v>
      </c>
      <c r="AD664" s="83">
        <v>179000</v>
      </c>
      <c r="AF664" s="83">
        <v>14000</v>
      </c>
      <c r="AJ664" s="83">
        <v>1</v>
      </c>
      <c r="AK664" s="83">
        <v>1</v>
      </c>
      <c r="AL664" s="83">
        <v>1450</v>
      </c>
      <c r="AM664" s="83" t="s">
        <v>2693</v>
      </c>
      <c r="BK664" s="83" t="s">
        <v>2694</v>
      </c>
      <c r="BL664" s="83" t="s">
        <v>2693</v>
      </c>
      <c r="BM664" s="83" t="s">
        <v>2725</v>
      </c>
      <c r="BN664" s="83" t="s">
        <v>2696</v>
      </c>
      <c r="BO664" s="83" t="s">
        <v>2697</v>
      </c>
      <c r="BP664" s="83" t="s">
        <v>2698</v>
      </c>
      <c r="BQ664" s="83" t="s">
        <v>2699</v>
      </c>
      <c r="BR664" s="83" t="s">
        <v>2693</v>
      </c>
      <c r="BS664" s="83" t="s">
        <v>2699</v>
      </c>
      <c r="BT664" s="83" t="s">
        <v>2696</v>
      </c>
      <c r="BU664" s="83" t="s">
        <v>2699</v>
      </c>
      <c r="BV664" s="83" t="s">
        <v>2696</v>
      </c>
      <c r="BW664" s="83" t="s">
        <v>2697</v>
      </c>
      <c r="BX664" s="83" t="s">
        <v>2696</v>
      </c>
      <c r="BY664" s="83" t="s">
        <v>2696</v>
      </c>
      <c r="BZ664" s="83" t="s">
        <v>2693</v>
      </c>
      <c r="CA664" s="83" t="s">
        <v>2697</v>
      </c>
      <c r="CB664" s="83">
        <v>8</v>
      </c>
      <c r="CC664" s="83" t="s">
        <v>2696</v>
      </c>
      <c r="CD664" s="83" t="s">
        <v>2696</v>
      </c>
      <c r="CF664" s="83" t="s">
        <v>1396</v>
      </c>
      <c r="CG664" s="83" t="s">
        <v>1397</v>
      </c>
      <c r="CH664" s="83" t="s">
        <v>2699</v>
      </c>
      <c r="CI664" s="79">
        <v>1</v>
      </c>
      <c r="CJ664" s="83" t="s">
        <v>2734</v>
      </c>
      <c r="CK664" s="144">
        <v>1</v>
      </c>
      <c r="CL664" s="99">
        <v>900000</v>
      </c>
    </row>
    <row r="665" spans="1:90">
      <c r="A665" s="83" t="s">
        <v>1224</v>
      </c>
      <c r="B665" s="83" t="s">
        <v>1249</v>
      </c>
      <c r="D665" s="83" t="s">
        <v>673</v>
      </c>
      <c r="E665" s="83" t="s">
        <v>1274</v>
      </c>
      <c r="F665" s="83" t="s">
        <v>1321</v>
      </c>
      <c r="G665" s="83" t="s">
        <v>1322</v>
      </c>
      <c r="H665" s="83" t="s">
        <v>1201</v>
      </c>
      <c r="I665" s="83" t="s">
        <v>1202</v>
      </c>
      <c r="J665" s="83" t="s">
        <v>1203</v>
      </c>
      <c r="K665" s="83" t="s">
        <v>565</v>
      </c>
      <c r="L665" s="83" t="s">
        <v>398</v>
      </c>
      <c r="M665" s="83" t="s">
        <v>399</v>
      </c>
      <c r="N665" s="83" t="s">
        <v>3277</v>
      </c>
      <c r="O665" s="83" t="s">
        <v>106</v>
      </c>
      <c r="P665" s="83">
        <v>4</v>
      </c>
      <c r="Q665" s="83" t="s">
        <v>106</v>
      </c>
      <c r="R665" s="83" t="s">
        <v>2691</v>
      </c>
      <c r="S665" s="83" t="s">
        <v>1446</v>
      </c>
      <c r="T665" s="83" t="s">
        <v>2703</v>
      </c>
      <c r="U665" s="83" t="s">
        <v>401</v>
      </c>
      <c r="AC665" s="83" t="s">
        <v>401</v>
      </c>
      <c r="AD665" s="83">
        <v>94000</v>
      </c>
      <c r="AF665" s="83">
        <v>0</v>
      </c>
      <c r="AJ665" s="83">
        <v>1</v>
      </c>
      <c r="AK665" s="83">
        <v>1</v>
      </c>
      <c r="AL665" s="83">
        <v>657</v>
      </c>
      <c r="AM665" s="83" t="s">
        <v>2693</v>
      </c>
      <c r="BK665" s="83" t="s">
        <v>2694</v>
      </c>
      <c r="BL665" s="83" t="s">
        <v>2693</v>
      </c>
      <c r="BM665" s="83" t="s">
        <v>2698</v>
      </c>
      <c r="BN665" s="83" t="s">
        <v>2696</v>
      </c>
      <c r="BO665" s="83" t="s">
        <v>2697</v>
      </c>
      <c r="BP665" s="83" t="s">
        <v>2698</v>
      </c>
      <c r="BQ665" s="83" t="s">
        <v>2699</v>
      </c>
      <c r="BR665" s="83" t="s">
        <v>2693</v>
      </c>
      <c r="BS665" s="83" t="s">
        <v>2699</v>
      </c>
      <c r="BT665" s="83" t="s">
        <v>2696</v>
      </c>
      <c r="BU665" s="83" t="s">
        <v>2699</v>
      </c>
      <c r="BV665" s="83" t="s">
        <v>2696</v>
      </c>
      <c r="BW665" s="83" t="s">
        <v>2695</v>
      </c>
      <c r="BX665" s="83" t="s">
        <v>2696</v>
      </c>
      <c r="BY665" s="83" t="s">
        <v>2696</v>
      </c>
      <c r="BZ665" s="83" t="s">
        <v>2693</v>
      </c>
      <c r="CA665" s="83" t="s">
        <v>2699</v>
      </c>
      <c r="CB665" s="83">
        <v>9</v>
      </c>
      <c r="CC665" s="83" t="s">
        <v>2696</v>
      </c>
      <c r="CD665" s="83" t="s">
        <v>2696</v>
      </c>
      <c r="CF665" s="83" t="s">
        <v>3719</v>
      </c>
      <c r="CG665" s="83" t="s">
        <v>1398</v>
      </c>
      <c r="CH665" s="83" t="s">
        <v>2693</v>
      </c>
      <c r="CI665" s="83" t="s">
        <v>1395</v>
      </c>
      <c r="CJ665" s="83" t="s">
        <v>2701</v>
      </c>
      <c r="CK665" s="144">
        <v>1</v>
      </c>
      <c r="CL665"/>
    </row>
    <row r="666" spans="1:90">
      <c r="A666" s="83" t="s">
        <v>1224</v>
      </c>
      <c r="B666" s="83" t="s">
        <v>1249</v>
      </c>
      <c r="D666" s="83" t="s">
        <v>714</v>
      </c>
      <c r="E666" s="83" t="s">
        <v>1275</v>
      </c>
      <c r="F666" s="83" t="s">
        <v>1321</v>
      </c>
      <c r="G666" s="83" t="s">
        <v>1322</v>
      </c>
      <c r="H666" s="83" t="s">
        <v>1201</v>
      </c>
      <c r="I666" s="83" t="s">
        <v>1202</v>
      </c>
      <c r="J666" s="83" t="s">
        <v>1203</v>
      </c>
      <c r="K666" s="83" t="s">
        <v>565</v>
      </c>
      <c r="L666" s="83" t="s">
        <v>398</v>
      </c>
      <c r="M666" s="83" t="s">
        <v>399</v>
      </c>
      <c r="N666" s="83" t="s">
        <v>3277</v>
      </c>
      <c r="O666" s="83" t="s">
        <v>106</v>
      </c>
      <c r="P666" s="83">
        <v>4</v>
      </c>
      <c r="Q666" s="83" t="s">
        <v>106</v>
      </c>
      <c r="R666" s="83" t="s">
        <v>2691</v>
      </c>
      <c r="S666" s="83" t="s">
        <v>1446</v>
      </c>
      <c r="T666" s="83" t="s">
        <v>2703</v>
      </c>
      <c r="U666" s="83" t="s">
        <v>401</v>
      </c>
      <c r="AC666" s="83" t="s">
        <v>401</v>
      </c>
      <c r="AD666" s="83">
        <v>94000</v>
      </c>
      <c r="AF666" s="83">
        <v>0</v>
      </c>
      <c r="AJ666" s="83">
        <v>1</v>
      </c>
      <c r="AK666" s="83">
        <v>1</v>
      </c>
      <c r="AL666" s="83">
        <v>657</v>
      </c>
      <c r="AM666" s="83" t="s">
        <v>2693</v>
      </c>
      <c r="BK666" s="83" t="s">
        <v>2694</v>
      </c>
      <c r="BL666" s="83" t="s">
        <v>2693</v>
      </c>
      <c r="BM666" s="83" t="s">
        <v>2698</v>
      </c>
      <c r="BN666" s="83" t="s">
        <v>2696</v>
      </c>
      <c r="BO666" s="83" t="s">
        <v>2697</v>
      </c>
      <c r="BP666" s="83" t="s">
        <v>2698</v>
      </c>
      <c r="BQ666" s="83" t="s">
        <v>2699</v>
      </c>
      <c r="BR666" s="83" t="s">
        <v>2693</v>
      </c>
      <c r="BS666" s="83" t="s">
        <v>2699</v>
      </c>
      <c r="BT666" s="83" t="s">
        <v>2696</v>
      </c>
      <c r="BU666" s="83" t="s">
        <v>2699</v>
      </c>
      <c r="BV666" s="83" t="s">
        <v>2696</v>
      </c>
      <c r="BW666" s="83" t="s">
        <v>2695</v>
      </c>
      <c r="BX666" s="83" t="s">
        <v>2696</v>
      </c>
      <c r="BY666" s="83" t="s">
        <v>2696</v>
      </c>
      <c r="BZ666" s="83" t="s">
        <v>2693</v>
      </c>
      <c r="CA666" s="83" t="s">
        <v>2699</v>
      </c>
      <c r="CB666" s="83" t="s">
        <v>2694</v>
      </c>
      <c r="CC666" s="83" t="s">
        <v>2696</v>
      </c>
      <c r="CD666" s="83" t="s">
        <v>2696</v>
      </c>
      <c r="CF666" s="83" t="s">
        <v>1399</v>
      </c>
      <c r="CG666" s="83" t="s">
        <v>1400</v>
      </c>
      <c r="CH666" s="83" t="s">
        <v>2693</v>
      </c>
      <c r="CI666" s="83" t="s">
        <v>1395</v>
      </c>
      <c r="CJ666" s="83" t="s">
        <v>2701</v>
      </c>
      <c r="CK666" s="144">
        <v>1</v>
      </c>
      <c r="CL666"/>
    </row>
    <row r="667" spans="1:90">
      <c r="A667" s="83" t="s">
        <v>1224</v>
      </c>
      <c r="B667" s="83" t="s">
        <v>1249</v>
      </c>
      <c r="D667" s="83" t="s">
        <v>716</v>
      </c>
      <c r="E667" s="83" t="s">
        <v>1276</v>
      </c>
      <c r="F667" s="83" t="s">
        <v>1321</v>
      </c>
      <c r="G667" s="83" t="s">
        <v>1322</v>
      </c>
      <c r="H667" s="83" t="s">
        <v>1201</v>
      </c>
      <c r="I667" s="83" t="s">
        <v>1202</v>
      </c>
      <c r="J667" s="83" t="s">
        <v>1203</v>
      </c>
      <c r="K667" s="83" t="s">
        <v>565</v>
      </c>
      <c r="L667" s="83" t="s">
        <v>398</v>
      </c>
      <c r="M667" s="83" t="s">
        <v>399</v>
      </c>
      <c r="N667" s="83" t="s">
        <v>3277</v>
      </c>
      <c r="O667" s="83" t="s">
        <v>106</v>
      </c>
      <c r="P667" s="83">
        <v>1</v>
      </c>
      <c r="Q667" s="83" t="s">
        <v>106</v>
      </c>
      <c r="R667" s="83" t="s">
        <v>2691</v>
      </c>
      <c r="S667" s="83" t="s">
        <v>1457</v>
      </c>
      <c r="T667" s="83" t="s">
        <v>2703</v>
      </c>
      <c r="U667" s="83" t="s">
        <v>401</v>
      </c>
      <c r="AC667" s="83" t="s">
        <v>401</v>
      </c>
      <c r="AD667" s="83">
        <v>46000</v>
      </c>
      <c r="AF667" s="83">
        <v>0</v>
      </c>
      <c r="AJ667" s="83">
        <v>1</v>
      </c>
      <c r="AK667" s="83">
        <v>1</v>
      </c>
      <c r="AL667" s="83">
        <v>875</v>
      </c>
      <c r="AM667" s="83" t="s">
        <v>2693</v>
      </c>
      <c r="BK667" s="83" t="s">
        <v>2694</v>
      </c>
      <c r="BL667" s="83" t="s">
        <v>2693</v>
      </c>
      <c r="BM667" s="83" t="s">
        <v>2725</v>
      </c>
      <c r="BN667" s="83" t="s">
        <v>2696</v>
      </c>
      <c r="BO667" s="83" t="s">
        <v>2697</v>
      </c>
      <c r="BP667" s="83" t="s">
        <v>2698</v>
      </c>
      <c r="BQ667" s="83" t="s">
        <v>2699</v>
      </c>
      <c r="BR667" s="83" t="s">
        <v>2693</v>
      </c>
      <c r="BS667" s="83" t="s">
        <v>2699</v>
      </c>
      <c r="BT667" s="83" t="s">
        <v>2696</v>
      </c>
      <c r="BU667" s="83" t="s">
        <v>2699</v>
      </c>
      <c r="BV667" s="83" t="s">
        <v>2696</v>
      </c>
      <c r="BW667" s="83" t="s">
        <v>2696</v>
      </c>
      <c r="BX667" s="83" t="s">
        <v>2696</v>
      </c>
      <c r="BY667" s="83" t="s">
        <v>2696</v>
      </c>
      <c r="BZ667" s="83" t="s">
        <v>2693</v>
      </c>
      <c r="CA667" s="83" t="s">
        <v>2697</v>
      </c>
      <c r="CB667" s="83">
        <v>9</v>
      </c>
      <c r="CC667" s="83" t="s">
        <v>2696</v>
      </c>
      <c r="CD667" s="83" t="s">
        <v>2696</v>
      </c>
      <c r="CF667" s="83" t="s">
        <v>1401</v>
      </c>
      <c r="CG667" s="83" t="s">
        <v>1397</v>
      </c>
      <c r="CH667" s="83" t="s">
        <v>2699</v>
      </c>
      <c r="CI667" s="79">
        <v>1</v>
      </c>
      <c r="CJ667" s="83" t="s">
        <v>2734</v>
      </c>
      <c r="CK667" s="144">
        <v>1</v>
      </c>
      <c r="CL667"/>
    </row>
    <row r="668" spans="1:90">
      <c r="A668" s="83" t="s">
        <v>1225</v>
      </c>
      <c r="B668" s="83" t="s">
        <v>1250</v>
      </c>
      <c r="D668" s="83" t="s">
        <v>688</v>
      </c>
      <c r="E668" s="83" t="s">
        <v>1277</v>
      </c>
      <c r="F668" s="83" t="s">
        <v>1323</v>
      </c>
      <c r="G668" s="83" t="s">
        <v>1324</v>
      </c>
      <c r="H668" s="83" t="s">
        <v>1201</v>
      </c>
      <c r="I668" s="83" t="s">
        <v>1202</v>
      </c>
      <c r="J668" s="83" t="s">
        <v>1203</v>
      </c>
      <c r="K668" s="83" t="s">
        <v>565</v>
      </c>
      <c r="L668" s="83" t="s">
        <v>398</v>
      </c>
      <c r="M668" s="83" t="s">
        <v>399</v>
      </c>
      <c r="N668" s="83" t="s">
        <v>3277</v>
      </c>
      <c r="O668" s="83" t="s">
        <v>106</v>
      </c>
      <c r="P668" s="83">
        <v>1</v>
      </c>
      <c r="Q668" s="83" t="s">
        <v>106</v>
      </c>
      <c r="R668" s="83" t="s">
        <v>3718</v>
      </c>
      <c r="S668" s="83" t="s">
        <v>1457</v>
      </c>
      <c r="T668" s="83" t="s">
        <v>2703</v>
      </c>
      <c r="U668" s="83" t="s">
        <v>401</v>
      </c>
      <c r="AC668" s="83" t="s">
        <v>401</v>
      </c>
      <c r="AD668" s="83">
        <v>103000</v>
      </c>
      <c r="AF668" s="83">
        <v>25000</v>
      </c>
      <c r="AJ668" s="83">
        <v>1</v>
      </c>
      <c r="AK668" s="83">
        <v>1</v>
      </c>
      <c r="AL668" s="83">
        <v>1120</v>
      </c>
      <c r="AM668" s="83" t="s">
        <v>2693</v>
      </c>
      <c r="BK668" s="83" t="s">
        <v>2694</v>
      </c>
      <c r="BL668" s="83" t="s">
        <v>2704</v>
      </c>
      <c r="BM668" s="83" t="s">
        <v>2698</v>
      </c>
      <c r="BN668" s="83" t="s">
        <v>2696</v>
      </c>
      <c r="BO668" s="83" t="s">
        <v>2693</v>
      </c>
      <c r="BP668" s="83" t="s">
        <v>2698</v>
      </c>
      <c r="BQ668" s="83" t="s">
        <v>2696</v>
      </c>
      <c r="BR668" s="83" t="s">
        <v>2693</v>
      </c>
      <c r="BS668" s="83" t="s">
        <v>2699</v>
      </c>
      <c r="BT668" s="83" t="s">
        <v>2696</v>
      </c>
      <c r="BU668" s="83" t="s">
        <v>2699</v>
      </c>
      <c r="BV668" s="83" t="s">
        <v>2696</v>
      </c>
      <c r="BW668" s="83" t="s">
        <v>2704</v>
      </c>
      <c r="BX668" s="83" t="s">
        <v>2696</v>
      </c>
      <c r="BY668" s="83" t="s">
        <v>2693</v>
      </c>
      <c r="BZ668" s="83" t="s">
        <v>2699</v>
      </c>
      <c r="CA668" s="83" t="s">
        <v>2697</v>
      </c>
      <c r="CB668" s="83">
        <v>9</v>
      </c>
      <c r="CC668" s="83" t="s">
        <v>2696</v>
      </c>
      <c r="CD668" s="83" t="s">
        <v>2696</v>
      </c>
      <c r="CF668" s="83" t="s">
        <v>1402</v>
      </c>
      <c r="CG668" s="83" t="s">
        <v>1403</v>
      </c>
      <c r="CH668" s="83" t="s">
        <v>2699</v>
      </c>
      <c r="CI668" s="79">
        <v>1</v>
      </c>
      <c r="CJ668" s="83" t="s">
        <v>2734</v>
      </c>
      <c r="CK668" s="144">
        <v>2</v>
      </c>
      <c r="CL668" s="99">
        <v>943000</v>
      </c>
    </row>
    <row r="669" spans="1:90">
      <c r="A669" s="83" t="s">
        <v>1225</v>
      </c>
      <c r="B669" s="83" t="s">
        <v>1250</v>
      </c>
      <c r="D669" s="83" t="s">
        <v>673</v>
      </c>
      <c r="E669" s="83" t="s">
        <v>1278</v>
      </c>
      <c r="F669" s="83" t="s">
        <v>1323</v>
      </c>
      <c r="G669" s="83" t="s">
        <v>1324</v>
      </c>
      <c r="H669" s="83" t="s">
        <v>1201</v>
      </c>
      <c r="I669" s="83" t="s">
        <v>1202</v>
      </c>
      <c r="J669" s="83" t="s">
        <v>1203</v>
      </c>
      <c r="K669" s="83" t="s">
        <v>565</v>
      </c>
      <c r="L669" s="83" t="s">
        <v>398</v>
      </c>
      <c r="M669" s="83" t="s">
        <v>399</v>
      </c>
      <c r="N669" s="83" t="s">
        <v>3277</v>
      </c>
      <c r="O669" s="83" t="s">
        <v>106</v>
      </c>
      <c r="P669" s="83">
        <v>8</v>
      </c>
      <c r="Q669" s="83" t="s">
        <v>106</v>
      </c>
      <c r="R669" s="83" t="s">
        <v>2691</v>
      </c>
      <c r="S669" s="83" t="s">
        <v>1457</v>
      </c>
      <c r="T669" s="83" t="s">
        <v>2703</v>
      </c>
      <c r="U669" s="83" t="s">
        <v>401</v>
      </c>
      <c r="AC669" s="83" t="s">
        <v>401</v>
      </c>
      <c r="AD669" s="83">
        <v>241000</v>
      </c>
      <c r="AF669" s="83">
        <v>18000</v>
      </c>
      <c r="AJ669" s="83">
        <v>1</v>
      </c>
      <c r="AK669" s="83">
        <v>2</v>
      </c>
      <c r="AL669" s="83">
        <v>2248</v>
      </c>
      <c r="AM669" s="83" t="s">
        <v>2693</v>
      </c>
      <c r="BK669" s="83" t="s">
        <v>2694</v>
      </c>
      <c r="BL669" s="83" t="s">
        <v>2693</v>
      </c>
      <c r="BM669" s="83" t="s">
        <v>2697</v>
      </c>
      <c r="BN669" s="83" t="s">
        <v>2698</v>
      </c>
      <c r="BO669" s="83" t="s">
        <v>2693</v>
      </c>
      <c r="BP669" s="83" t="s">
        <v>2695</v>
      </c>
      <c r="BQ669" s="83" t="s">
        <v>2699</v>
      </c>
      <c r="BR669" s="83" t="s">
        <v>2693</v>
      </c>
      <c r="BS669" s="83" t="s">
        <v>2699</v>
      </c>
      <c r="BT669" s="83" t="s">
        <v>2696</v>
      </c>
      <c r="BU669" s="83" t="s">
        <v>2699</v>
      </c>
      <c r="BV669" s="83" t="s">
        <v>2696</v>
      </c>
      <c r="BW669" s="83" t="s">
        <v>2696</v>
      </c>
      <c r="BX669" s="83" t="s">
        <v>2696</v>
      </c>
      <c r="BY669" s="83" t="s">
        <v>2699</v>
      </c>
      <c r="BZ669" s="83" t="s">
        <v>2693</v>
      </c>
      <c r="CA669" s="83" t="s">
        <v>2697</v>
      </c>
      <c r="CB669" s="83">
        <v>9</v>
      </c>
      <c r="CC669" s="83" t="s">
        <v>2699</v>
      </c>
      <c r="CD669" s="83" t="s">
        <v>2696</v>
      </c>
      <c r="CF669" s="83" t="s">
        <v>1404</v>
      </c>
      <c r="CG669" s="83" t="s">
        <v>1405</v>
      </c>
      <c r="CH669" s="83" t="s">
        <v>2695</v>
      </c>
      <c r="CI669" s="83" t="s">
        <v>648</v>
      </c>
      <c r="CJ669" s="83" t="s">
        <v>2726</v>
      </c>
      <c r="CK669" s="144">
        <v>2</v>
      </c>
      <c r="CL669"/>
    </row>
    <row r="670" spans="1:90">
      <c r="A670" s="83" t="s">
        <v>1225</v>
      </c>
      <c r="B670" s="83" t="s">
        <v>1250</v>
      </c>
      <c r="D670" s="83" t="s">
        <v>714</v>
      </c>
      <c r="E670" s="83" t="s">
        <v>1279</v>
      </c>
      <c r="F670" s="83" t="s">
        <v>1323</v>
      </c>
      <c r="G670" s="83" t="s">
        <v>1324</v>
      </c>
      <c r="H670" s="83" t="s">
        <v>1201</v>
      </c>
      <c r="I670" s="83" t="s">
        <v>1202</v>
      </c>
      <c r="J670" s="83" t="s">
        <v>1203</v>
      </c>
      <c r="K670" s="83" t="s">
        <v>565</v>
      </c>
      <c r="L670" s="83" t="s">
        <v>398</v>
      </c>
      <c r="M670" s="83" t="s">
        <v>399</v>
      </c>
      <c r="N670" s="83" t="s">
        <v>3277</v>
      </c>
      <c r="O670" s="83" t="s">
        <v>106</v>
      </c>
      <c r="P670" s="83">
        <v>4</v>
      </c>
      <c r="Q670" s="83" t="s">
        <v>106</v>
      </c>
      <c r="R670" s="83" t="s">
        <v>2691</v>
      </c>
      <c r="S670" s="83" t="s">
        <v>1457</v>
      </c>
      <c r="T670" s="83" t="s">
        <v>2703</v>
      </c>
      <c r="U670" s="83" t="s">
        <v>401</v>
      </c>
      <c r="AC670" s="83" t="s">
        <v>401</v>
      </c>
      <c r="AD670" s="83">
        <v>429000</v>
      </c>
      <c r="AF670" s="83">
        <v>45000</v>
      </c>
      <c r="AJ670" s="83">
        <v>1</v>
      </c>
      <c r="AK670" s="83">
        <v>1</v>
      </c>
      <c r="AL670" s="83">
        <v>4577</v>
      </c>
      <c r="AM670" s="83" t="s">
        <v>2693</v>
      </c>
      <c r="BK670" s="83" t="s">
        <v>2694</v>
      </c>
      <c r="BL670" s="83" t="s">
        <v>2693</v>
      </c>
      <c r="BM670" s="83" t="s">
        <v>2697</v>
      </c>
      <c r="BN670" s="83" t="s">
        <v>2698</v>
      </c>
      <c r="BO670" s="83" t="s">
        <v>2693</v>
      </c>
      <c r="BP670" s="83" t="s">
        <v>2698</v>
      </c>
      <c r="BQ670" s="83" t="s">
        <v>2699</v>
      </c>
      <c r="BR670" s="83" t="s">
        <v>2693</v>
      </c>
      <c r="BS670" s="83" t="s">
        <v>2699</v>
      </c>
      <c r="BT670" s="83" t="s">
        <v>2696</v>
      </c>
      <c r="BU670" s="83" t="s">
        <v>2699</v>
      </c>
      <c r="BV670" s="83" t="s">
        <v>2696</v>
      </c>
      <c r="BW670" s="83" t="s">
        <v>2696</v>
      </c>
      <c r="BX670" s="83" t="s">
        <v>2696</v>
      </c>
      <c r="BY670" s="83" t="s">
        <v>2699</v>
      </c>
      <c r="BZ670" s="83" t="s">
        <v>2693</v>
      </c>
      <c r="CA670" s="83" t="s">
        <v>2697</v>
      </c>
      <c r="CB670" s="83">
        <v>9</v>
      </c>
      <c r="CC670" s="83" t="s">
        <v>2699</v>
      </c>
      <c r="CD670" s="83" t="s">
        <v>2696</v>
      </c>
      <c r="CF670" s="83" t="s">
        <v>3720</v>
      </c>
      <c r="CG670" s="83" t="s">
        <v>3721</v>
      </c>
      <c r="CH670" s="83" t="s">
        <v>2693</v>
      </c>
      <c r="CI670" s="83" t="s">
        <v>3992</v>
      </c>
      <c r="CJ670" s="83" t="s">
        <v>2701</v>
      </c>
      <c r="CK670" s="144">
        <v>2</v>
      </c>
      <c r="CL670"/>
    </row>
    <row r="671" spans="1:90">
      <c r="A671" s="83" t="s">
        <v>1226</v>
      </c>
      <c r="B671" s="83" t="s">
        <v>676</v>
      </c>
      <c r="D671" s="83" t="s">
        <v>688</v>
      </c>
      <c r="E671" s="83" t="s">
        <v>1280</v>
      </c>
      <c r="F671" s="83" t="s">
        <v>1325</v>
      </c>
      <c r="G671" s="83" t="s">
        <v>1326</v>
      </c>
      <c r="H671" s="83" t="s">
        <v>1201</v>
      </c>
      <c r="I671" s="83" t="s">
        <v>1202</v>
      </c>
      <c r="J671" s="83" t="s">
        <v>1203</v>
      </c>
      <c r="K671" s="83" t="s">
        <v>565</v>
      </c>
      <c r="L671" s="83" t="s">
        <v>398</v>
      </c>
      <c r="M671" s="83" t="s">
        <v>399</v>
      </c>
      <c r="N671" s="83" t="s">
        <v>2778</v>
      </c>
      <c r="O671" s="83" t="s">
        <v>106</v>
      </c>
      <c r="P671" s="83">
        <v>1</v>
      </c>
      <c r="Q671" s="83" t="s">
        <v>106</v>
      </c>
      <c r="R671" s="83" t="s">
        <v>2691</v>
      </c>
      <c r="S671" s="83" t="s">
        <v>1461</v>
      </c>
      <c r="T671" s="83" t="s">
        <v>2703</v>
      </c>
      <c r="U671" s="83" t="s">
        <v>401</v>
      </c>
      <c r="AC671" s="83" t="s">
        <v>401</v>
      </c>
      <c r="AD671" s="83">
        <v>219000</v>
      </c>
      <c r="AF671" s="83">
        <v>14000</v>
      </c>
      <c r="AJ671" s="83">
        <v>1</v>
      </c>
      <c r="AK671" s="83">
        <v>1</v>
      </c>
      <c r="AL671" s="83">
        <v>2860</v>
      </c>
      <c r="AM671" s="83" t="s">
        <v>2693</v>
      </c>
      <c r="BK671" s="83" t="s">
        <v>2694</v>
      </c>
      <c r="BL671" s="83" t="s">
        <v>2693</v>
      </c>
      <c r="BM671" s="83" t="s">
        <v>2725</v>
      </c>
      <c r="BN671" s="83" t="s">
        <v>2696</v>
      </c>
      <c r="BO671" s="83" t="s">
        <v>2699</v>
      </c>
      <c r="BP671" s="83" t="s">
        <v>2698</v>
      </c>
      <c r="BQ671" s="83" t="s">
        <v>2699</v>
      </c>
      <c r="BR671" s="83" t="s">
        <v>2693</v>
      </c>
      <c r="BS671" s="83" t="s">
        <v>2699</v>
      </c>
      <c r="BT671" s="83" t="s">
        <v>2696</v>
      </c>
      <c r="BU671" s="83" t="s">
        <v>2699</v>
      </c>
      <c r="BV671" s="83" t="s">
        <v>2696</v>
      </c>
      <c r="BW671" s="83" t="s">
        <v>2697</v>
      </c>
      <c r="BX671" s="83" t="s">
        <v>2696</v>
      </c>
      <c r="BY671" s="83" t="s">
        <v>2696</v>
      </c>
      <c r="BZ671" s="83" t="s">
        <v>2693</v>
      </c>
      <c r="CA671" s="83" t="s">
        <v>2697</v>
      </c>
      <c r="CB671" s="83">
        <v>8</v>
      </c>
      <c r="CC671" s="83" t="s">
        <v>2696</v>
      </c>
      <c r="CD671" s="83" t="s">
        <v>2696</v>
      </c>
      <c r="CF671" s="83" t="s">
        <v>1406</v>
      </c>
      <c r="CG671" s="83" t="s">
        <v>1407</v>
      </c>
      <c r="CH671" s="83" t="s">
        <v>2699</v>
      </c>
      <c r="CI671" s="79">
        <v>1</v>
      </c>
      <c r="CJ671" s="83" t="s">
        <v>2734</v>
      </c>
      <c r="CK671" s="144">
        <v>1</v>
      </c>
      <c r="CL671" s="99">
        <v>26000</v>
      </c>
    </row>
    <row r="672" spans="1:90">
      <c r="A672" s="83" t="s">
        <v>1227</v>
      </c>
      <c r="B672" s="83" t="s">
        <v>1251</v>
      </c>
      <c r="D672" s="83" t="s">
        <v>688</v>
      </c>
      <c r="E672" s="83" t="s">
        <v>906</v>
      </c>
      <c r="F672" s="83" t="s">
        <v>1327</v>
      </c>
      <c r="G672" s="83" t="s">
        <v>1328</v>
      </c>
      <c r="H672" s="83" t="s">
        <v>1201</v>
      </c>
      <c r="I672" s="83" t="s">
        <v>1202</v>
      </c>
      <c r="J672" s="83" t="s">
        <v>1203</v>
      </c>
      <c r="K672" s="83" t="s">
        <v>565</v>
      </c>
      <c r="L672" s="83" t="s">
        <v>398</v>
      </c>
      <c r="M672" s="83" t="s">
        <v>399</v>
      </c>
      <c r="N672" s="83" t="s">
        <v>2709</v>
      </c>
      <c r="O672" s="83" t="s">
        <v>106</v>
      </c>
      <c r="P672" s="83">
        <v>4</v>
      </c>
      <c r="Q672" s="83" t="s">
        <v>106</v>
      </c>
      <c r="R672" s="83" t="s">
        <v>3718</v>
      </c>
      <c r="S672" s="83" t="s">
        <v>1462</v>
      </c>
      <c r="T672" s="83" t="s">
        <v>2703</v>
      </c>
      <c r="U672" s="83" t="s">
        <v>401</v>
      </c>
      <c r="AC672" s="83" t="s">
        <v>401</v>
      </c>
      <c r="AD672" s="83">
        <v>112000</v>
      </c>
      <c r="AF672" s="83">
        <v>0</v>
      </c>
      <c r="AJ672" s="83">
        <v>1</v>
      </c>
      <c r="AK672" s="83">
        <v>1</v>
      </c>
      <c r="AL672" s="83">
        <v>1346</v>
      </c>
      <c r="AM672" s="83" t="s">
        <v>2693</v>
      </c>
      <c r="BK672" s="83" t="s">
        <v>2694</v>
      </c>
      <c r="BL672" s="83" t="s">
        <v>2704</v>
      </c>
      <c r="BM672" s="83" t="s">
        <v>2698</v>
      </c>
      <c r="BN672" s="83" t="s">
        <v>2696</v>
      </c>
      <c r="BO672" s="83" t="s">
        <v>2695</v>
      </c>
      <c r="BP672" s="83" t="s">
        <v>2698</v>
      </c>
      <c r="BQ672" s="83" t="s">
        <v>2693</v>
      </c>
      <c r="BR672" s="83" t="s">
        <v>2693</v>
      </c>
      <c r="BS672" s="83" t="s">
        <v>2693</v>
      </c>
      <c r="BT672" s="83" t="s">
        <v>2696</v>
      </c>
      <c r="BU672" s="83" t="s">
        <v>2699</v>
      </c>
      <c r="BV672" s="83" t="s">
        <v>2696</v>
      </c>
      <c r="BW672" s="83" t="s">
        <v>2699</v>
      </c>
      <c r="BX672" s="83" t="s">
        <v>2696</v>
      </c>
      <c r="BY672" s="83" t="s">
        <v>2696</v>
      </c>
      <c r="BZ672" s="83" t="s">
        <v>2693</v>
      </c>
      <c r="CA672" s="83" t="s">
        <v>2699</v>
      </c>
      <c r="CB672" s="83">
        <v>9</v>
      </c>
      <c r="CC672" s="83" t="s">
        <v>2693</v>
      </c>
      <c r="CD672" s="83" t="s">
        <v>2696</v>
      </c>
      <c r="CF672" s="83" t="s">
        <v>1408</v>
      </c>
      <c r="CG672" s="83" t="s">
        <v>1409</v>
      </c>
      <c r="CH672" s="83" t="s">
        <v>2693</v>
      </c>
      <c r="CI672" s="83" t="s">
        <v>1395</v>
      </c>
      <c r="CJ672" s="83" t="s">
        <v>2701</v>
      </c>
      <c r="CK672" s="144">
        <v>0</v>
      </c>
      <c r="CL672" s="99">
        <v>2000</v>
      </c>
    </row>
    <row r="673" spans="1:90">
      <c r="A673" s="83" t="s">
        <v>1228</v>
      </c>
      <c r="B673" s="83" t="s">
        <v>1252</v>
      </c>
      <c r="D673" s="83" t="s">
        <v>688</v>
      </c>
      <c r="E673" s="83" t="s">
        <v>1252</v>
      </c>
      <c r="F673" s="83" t="s">
        <v>1329</v>
      </c>
      <c r="G673" s="83" t="s">
        <v>1330</v>
      </c>
      <c r="H673" s="83" t="s">
        <v>1201</v>
      </c>
      <c r="I673" s="83" t="s">
        <v>1202</v>
      </c>
      <c r="J673" s="83" t="s">
        <v>1203</v>
      </c>
      <c r="K673" s="83" t="s">
        <v>565</v>
      </c>
      <c r="L673" s="83" t="s">
        <v>398</v>
      </c>
      <c r="M673" s="83" t="s">
        <v>399</v>
      </c>
      <c r="N673" s="83" t="s">
        <v>2709</v>
      </c>
      <c r="O673" s="83" t="s">
        <v>106</v>
      </c>
      <c r="P673" s="83">
        <v>8</v>
      </c>
      <c r="Q673" s="83" t="s">
        <v>106</v>
      </c>
      <c r="R673" s="83" t="s">
        <v>2691</v>
      </c>
      <c r="S673" s="83" t="s">
        <v>1463</v>
      </c>
      <c r="T673" s="83" t="s">
        <v>2703</v>
      </c>
      <c r="U673" s="83" t="s">
        <v>401</v>
      </c>
      <c r="AC673" s="83" t="s">
        <v>401</v>
      </c>
      <c r="AD673" s="83">
        <v>1212000</v>
      </c>
      <c r="AF673" s="83">
        <v>88000</v>
      </c>
      <c r="AJ673" s="83">
        <v>1</v>
      </c>
      <c r="AK673" s="83">
        <v>2</v>
      </c>
      <c r="AL673" s="83">
        <v>8896</v>
      </c>
      <c r="AM673" s="83" t="s">
        <v>2693</v>
      </c>
      <c r="BK673" s="83" t="s">
        <v>2694</v>
      </c>
      <c r="BL673" s="83" t="s">
        <v>2695</v>
      </c>
      <c r="BM673" s="83" t="s">
        <v>2693</v>
      </c>
      <c r="BN673" s="83" t="s">
        <v>2698</v>
      </c>
      <c r="BO673" s="83" t="s">
        <v>2697</v>
      </c>
      <c r="BP673" s="83" t="s">
        <v>2697</v>
      </c>
      <c r="BQ673" s="83" t="s">
        <v>2699</v>
      </c>
      <c r="BR673" s="83" t="s">
        <v>2693</v>
      </c>
      <c r="BS673" s="83" t="s">
        <v>2699</v>
      </c>
      <c r="BT673" s="83" t="s">
        <v>2696</v>
      </c>
      <c r="BU673" s="83" t="s">
        <v>2699</v>
      </c>
      <c r="BV673" s="83" t="s">
        <v>2699</v>
      </c>
      <c r="BW673" s="83" t="s">
        <v>2699</v>
      </c>
      <c r="BX673" s="83" t="s">
        <v>2696</v>
      </c>
      <c r="BY673" s="83" t="s">
        <v>2699</v>
      </c>
      <c r="BZ673" s="83" t="s">
        <v>2693</v>
      </c>
      <c r="CA673" s="83" t="s">
        <v>2697</v>
      </c>
      <c r="CB673" s="83">
        <v>8</v>
      </c>
      <c r="CC673" s="83" t="s">
        <v>2699</v>
      </c>
      <c r="CD673" s="83" t="s">
        <v>2696</v>
      </c>
      <c r="CF673" s="83" t="s">
        <v>1410</v>
      </c>
      <c r="CG673" s="83" t="s">
        <v>1411</v>
      </c>
      <c r="CH673" s="83" t="s">
        <v>2695</v>
      </c>
      <c r="CI673" s="83" t="s">
        <v>648</v>
      </c>
      <c r="CJ673" s="83" t="s">
        <v>2726</v>
      </c>
      <c r="CK673" s="144">
        <v>0</v>
      </c>
      <c r="CL673" s="99">
        <v>6000</v>
      </c>
    </row>
    <row r="674" spans="1:90">
      <c r="A674" s="83" t="s">
        <v>1229</v>
      </c>
      <c r="B674" s="83" t="s">
        <v>1253</v>
      </c>
      <c r="D674" s="83" t="s">
        <v>688</v>
      </c>
      <c r="E674" s="83" t="s">
        <v>1253</v>
      </c>
      <c r="F674" s="83" t="s">
        <v>1304</v>
      </c>
      <c r="G674" s="83" t="s">
        <v>1331</v>
      </c>
      <c r="H674" s="83" t="s">
        <v>1201</v>
      </c>
      <c r="I674" s="83" t="s">
        <v>1202</v>
      </c>
      <c r="J674" s="83" t="s">
        <v>1203</v>
      </c>
      <c r="K674" s="83" t="s">
        <v>565</v>
      </c>
      <c r="L674" s="83" t="s">
        <v>398</v>
      </c>
      <c r="M674" s="83" t="s">
        <v>399</v>
      </c>
      <c r="N674" s="83" t="s">
        <v>2752</v>
      </c>
      <c r="O674" s="83" t="s">
        <v>106</v>
      </c>
      <c r="P674" s="83">
        <v>4</v>
      </c>
      <c r="Q674" s="83" t="s">
        <v>106</v>
      </c>
      <c r="R674" s="83" t="s">
        <v>2767</v>
      </c>
      <c r="S674" s="83" t="s">
        <v>1448</v>
      </c>
      <c r="T674" s="83" t="s">
        <v>2703</v>
      </c>
      <c r="U674" s="83" t="s">
        <v>401</v>
      </c>
      <c r="AC674" s="83" t="s">
        <v>401</v>
      </c>
      <c r="AD674" s="83">
        <v>2730000</v>
      </c>
      <c r="AF674" s="83">
        <v>0</v>
      </c>
      <c r="AJ674" s="83">
        <v>1</v>
      </c>
      <c r="AK674" s="83">
        <v>2</v>
      </c>
      <c r="AL674" s="83">
        <v>17140</v>
      </c>
      <c r="AM674" s="83" t="s">
        <v>2693</v>
      </c>
      <c r="BK674" s="83" t="s">
        <v>2694</v>
      </c>
      <c r="BL674" s="83" t="s">
        <v>2697</v>
      </c>
      <c r="BM674" s="83" t="s">
        <v>2699</v>
      </c>
      <c r="BN674" s="83" t="s">
        <v>2696</v>
      </c>
      <c r="BO674" s="83" t="s">
        <v>2697</v>
      </c>
      <c r="BP674" s="83" t="s">
        <v>2698</v>
      </c>
      <c r="BQ674" s="83" t="s">
        <v>2699</v>
      </c>
      <c r="BR674" s="83" t="s">
        <v>2699</v>
      </c>
      <c r="BS674" s="83" t="s">
        <v>2699</v>
      </c>
      <c r="BT674" s="83" t="s">
        <v>2696</v>
      </c>
      <c r="BU674" s="83" t="s">
        <v>2699</v>
      </c>
      <c r="BV674" s="83" t="s">
        <v>2696</v>
      </c>
      <c r="BW674" s="83" t="s">
        <v>2699</v>
      </c>
      <c r="BX674" s="83" t="s">
        <v>2696</v>
      </c>
      <c r="BY674" s="83" t="s">
        <v>2696</v>
      </c>
      <c r="BZ674" s="83" t="s">
        <v>2693</v>
      </c>
      <c r="CA674" s="83" t="s">
        <v>2693</v>
      </c>
      <c r="CB674" s="83">
        <v>8</v>
      </c>
      <c r="CC674" s="83" t="s">
        <v>2696</v>
      </c>
      <c r="CD674" s="83" t="s">
        <v>2699</v>
      </c>
      <c r="CF674" s="83" t="s">
        <v>1412</v>
      </c>
      <c r="CG674" s="83" t="s">
        <v>1413</v>
      </c>
      <c r="CH674" s="83">
        <v>2</v>
      </c>
      <c r="CI674" s="83" t="s">
        <v>1414</v>
      </c>
      <c r="CJ674" s="83" t="s">
        <v>2701</v>
      </c>
      <c r="CK674" s="144">
        <v>0</v>
      </c>
      <c r="CL674" s="99">
        <v>11000</v>
      </c>
    </row>
    <row r="675" spans="1:90">
      <c r="A675" s="83" t="s">
        <v>3722</v>
      </c>
      <c r="B675" s="83" t="s">
        <v>1254</v>
      </c>
      <c r="D675" s="83" t="s">
        <v>688</v>
      </c>
      <c r="E675" s="83" t="s">
        <v>1254</v>
      </c>
      <c r="F675" s="83" t="s">
        <v>1332</v>
      </c>
      <c r="G675" s="83" t="s">
        <v>1333</v>
      </c>
      <c r="H675" s="83" t="s">
        <v>1201</v>
      </c>
      <c r="I675" s="83" t="s">
        <v>1202</v>
      </c>
      <c r="J675" s="83" t="s">
        <v>1203</v>
      </c>
      <c r="K675" s="83" t="s">
        <v>565</v>
      </c>
      <c r="L675" s="83" t="s">
        <v>398</v>
      </c>
      <c r="M675" s="83" t="s">
        <v>399</v>
      </c>
      <c r="N675" s="83" t="s">
        <v>3001</v>
      </c>
      <c r="O675" s="83" t="s">
        <v>106</v>
      </c>
      <c r="Q675" s="83" t="s">
        <v>106</v>
      </c>
      <c r="R675" s="83" t="s">
        <v>2691</v>
      </c>
      <c r="S675" s="83" t="s">
        <v>1464</v>
      </c>
      <c r="T675" s="83" t="s">
        <v>1468</v>
      </c>
      <c r="U675" s="83" t="s">
        <v>401</v>
      </c>
      <c r="AC675" s="83" t="s">
        <v>401</v>
      </c>
      <c r="AD675" s="83">
        <v>7242000</v>
      </c>
      <c r="AF675" s="83">
        <v>0</v>
      </c>
      <c r="AJ675" s="83">
        <v>1</v>
      </c>
      <c r="AK675" s="83">
        <v>0</v>
      </c>
      <c r="AL675" s="83">
        <v>105600</v>
      </c>
      <c r="AM675" s="83" t="s">
        <v>2693</v>
      </c>
      <c r="BK675" s="83" t="s">
        <v>2694</v>
      </c>
      <c r="BL675" s="83" t="s">
        <v>2696</v>
      </c>
      <c r="BM675" s="83" t="s">
        <v>2696</v>
      </c>
      <c r="BN675" s="83" t="s">
        <v>2696</v>
      </c>
      <c r="BO675" s="83" t="s">
        <v>2696</v>
      </c>
      <c r="BP675" s="83" t="s">
        <v>2696</v>
      </c>
      <c r="BQ675" s="83" t="s">
        <v>2699</v>
      </c>
      <c r="BR675" s="83" t="s">
        <v>2693</v>
      </c>
      <c r="BS675" s="83" t="s">
        <v>2699</v>
      </c>
      <c r="BT675" s="83" t="s">
        <v>2696</v>
      </c>
      <c r="BU675" s="83" t="s">
        <v>2699</v>
      </c>
      <c r="BV675" s="83" t="s">
        <v>2699</v>
      </c>
      <c r="BW675" s="83" t="s">
        <v>2696</v>
      </c>
      <c r="BX675" s="83" t="s">
        <v>2696</v>
      </c>
      <c r="BY675" s="83" t="s">
        <v>2696</v>
      </c>
      <c r="BZ675" s="83" t="s">
        <v>2696</v>
      </c>
      <c r="CA675" s="83" t="s">
        <v>2696</v>
      </c>
      <c r="CB675" s="83" t="s">
        <v>2696</v>
      </c>
      <c r="CC675" s="83" t="s">
        <v>2696</v>
      </c>
      <c r="CD675" s="83" t="s">
        <v>2696</v>
      </c>
      <c r="CF675" s="83" t="s">
        <v>1415</v>
      </c>
      <c r="CG675" s="83" t="s">
        <v>1416</v>
      </c>
      <c r="CH675" s="83">
        <v>1</v>
      </c>
      <c r="CI675" s="79">
        <v>1</v>
      </c>
      <c r="CJ675" s="83" t="s">
        <v>2734</v>
      </c>
      <c r="CK675" s="144">
        <v>3</v>
      </c>
      <c r="CL675"/>
    </row>
    <row r="676" spans="1:90">
      <c r="A676" s="83" t="s">
        <v>1230</v>
      </c>
      <c r="B676" s="83" t="s">
        <v>1255</v>
      </c>
      <c r="D676" s="83" t="s">
        <v>688</v>
      </c>
      <c r="E676" s="83" t="s">
        <v>1255</v>
      </c>
      <c r="F676" s="83" t="s">
        <v>1334</v>
      </c>
      <c r="G676" s="83" t="s">
        <v>1335</v>
      </c>
      <c r="H676" s="83" t="s">
        <v>1201</v>
      </c>
      <c r="I676" s="83" t="s">
        <v>1202</v>
      </c>
      <c r="J676" s="83" t="s">
        <v>1203</v>
      </c>
      <c r="K676" s="83" t="s">
        <v>565</v>
      </c>
      <c r="L676" s="83" t="s">
        <v>398</v>
      </c>
      <c r="M676" s="83" t="s">
        <v>399</v>
      </c>
      <c r="N676" s="83" t="s">
        <v>3001</v>
      </c>
      <c r="O676" s="83" t="s">
        <v>106</v>
      </c>
      <c r="P676" s="83">
        <v>7</v>
      </c>
      <c r="Q676" s="83" t="s">
        <v>106</v>
      </c>
      <c r="R676" s="83" t="s">
        <v>2691</v>
      </c>
      <c r="S676" s="83" t="s">
        <v>1465</v>
      </c>
      <c r="T676" s="83" t="s">
        <v>2703</v>
      </c>
      <c r="U676" s="83" t="s">
        <v>401</v>
      </c>
      <c r="AC676" s="83" t="s">
        <v>401</v>
      </c>
      <c r="AD676" s="83">
        <v>15395000</v>
      </c>
      <c r="AF676" s="83">
        <v>0</v>
      </c>
      <c r="AJ676" s="83">
        <v>1</v>
      </c>
      <c r="AK676" s="83">
        <v>3</v>
      </c>
      <c r="AL676" s="83">
        <v>72463</v>
      </c>
      <c r="AM676" s="83" t="s">
        <v>2693</v>
      </c>
      <c r="BK676" s="83" t="s">
        <v>2694</v>
      </c>
      <c r="BL676" s="83" t="s">
        <v>2695</v>
      </c>
      <c r="BM676" s="83" t="s">
        <v>2693</v>
      </c>
      <c r="BN676" s="83" t="s">
        <v>2698</v>
      </c>
      <c r="BO676" s="83" t="s">
        <v>2697</v>
      </c>
      <c r="BP676" s="83" t="s">
        <v>2697</v>
      </c>
      <c r="BQ676" s="83" t="s">
        <v>2699</v>
      </c>
      <c r="BR676" s="83" t="s">
        <v>2693</v>
      </c>
      <c r="BS676" s="83" t="s">
        <v>2699</v>
      </c>
      <c r="BT676" s="83" t="s">
        <v>2696</v>
      </c>
      <c r="BU676" s="83" t="s">
        <v>2699</v>
      </c>
      <c r="BV676" s="83" t="s">
        <v>2693</v>
      </c>
      <c r="BW676" s="83" t="s">
        <v>2693</v>
      </c>
      <c r="BX676" s="83" t="s">
        <v>2696</v>
      </c>
      <c r="BY676" s="83" t="s">
        <v>2699</v>
      </c>
      <c r="BZ676" s="83" t="s">
        <v>2693</v>
      </c>
      <c r="CA676" s="83" t="s">
        <v>2693</v>
      </c>
      <c r="CB676" s="83">
        <v>1</v>
      </c>
      <c r="CC676" s="83" t="s">
        <v>2699</v>
      </c>
      <c r="CD676" s="83" t="s">
        <v>2699</v>
      </c>
      <c r="CF676" s="83" t="s">
        <v>1417</v>
      </c>
      <c r="CG676" s="83" t="s">
        <v>1418</v>
      </c>
      <c r="CH676" s="83" t="s">
        <v>2698</v>
      </c>
      <c r="CI676" s="83" t="s">
        <v>2009</v>
      </c>
      <c r="CJ676" s="83">
        <v>135</v>
      </c>
      <c r="CK676" s="144">
        <v>0</v>
      </c>
      <c r="CL676"/>
    </row>
    <row r="677" spans="1:90">
      <c r="A677" s="79" t="s">
        <v>3723</v>
      </c>
      <c r="B677" s="79" t="s">
        <v>1256</v>
      </c>
      <c r="C677" s="79"/>
      <c r="D677" s="79" t="s">
        <v>688</v>
      </c>
      <c r="E677" s="79" t="s">
        <v>1256</v>
      </c>
      <c r="F677" s="79"/>
      <c r="G677" s="79" t="s">
        <v>1336</v>
      </c>
      <c r="H677" s="79" t="s">
        <v>1201</v>
      </c>
      <c r="I677" s="79" t="s">
        <v>1202</v>
      </c>
      <c r="J677" s="79" t="s">
        <v>1203</v>
      </c>
      <c r="K677" s="79" t="s">
        <v>565</v>
      </c>
      <c r="L677" s="79" t="s">
        <v>398</v>
      </c>
      <c r="M677" s="79" t="s">
        <v>399</v>
      </c>
      <c r="N677" s="79" t="s">
        <v>3001</v>
      </c>
      <c r="O677" s="79" t="s">
        <v>106</v>
      </c>
      <c r="P677" s="79"/>
      <c r="Q677" s="79" t="s">
        <v>106</v>
      </c>
      <c r="R677" s="79" t="s">
        <v>2691</v>
      </c>
      <c r="S677" s="79" t="s">
        <v>1466</v>
      </c>
      <c r="T677" s="79" t="s">
        <v>2804</v>
      </c>
      <c r="U677" s="79" t="s">
        <v>401</v>
      </c>
      <c r="AC677" s="79" t="s">
        <v>401</v>
      </c>
      <c r="AD677" s="79">
        <v>11254000</v>
      </c>
      <c r="AE677" s="79"/>
      <c r="AF677" s="79">
        <v>0</v>
      </c>
      <c r="AG677" s="79"/>
      <c r="AH677" s="79"/>
      <c r="AI677" s="79"/>
      <c r="AJ677" s="79">
        <v>1</v>
      </c>
      <c r="AK677" s="79">
        <v>0</v>
      </c>
      <c r="AL677" s="79">
        <v>237600</v>
      </c>
      <c r="AM677" s="79" t="s">
        <v>2693</v>
      </c>
      <c r="AN677" s="79"/>
      <c r="AO677" s="79"/>
      <c r="AP677" s="79"/>
      <c r="AQ677" s="79"/>
      <c r="AR677" s="79"/>
      <c r="AS677" s="79"/>
      <c r="AT677" s="79"/>
      <c r="AU677" s="79"/>
      <c r="AV677" s="79"/>
      <c r="AW677" s="79"/>
      <c r="AX677" s="79"/>
      <c r="AY677" s="79"/>
      <c r="AZ677" s="79"/>
      <c r="BA677" s="79"/>
      <c r="BB677" s="79"/>
      <c r="BC677" s="79"/>
      <c r="BD677" s="79"/>
      <c r="BE677" s="79"/>
      <c r="BF677" s="79"/>
      <c r="BG677" s="79"/>
      <c r="BH677" s="79"/>
      <c r="BI677" s="79"/>
      <c r="BJ677" s="79"/>
      <c r="BK677" s="79" t="s">
        <v>2694</v>
      </c>
      <c r="BL677" s="79" t="s">
        <v>2696</v>
      </c>
      <c r="BM677" s="79" t="s">
        <v>2696</v>
      </c>
      <c r="BN677" s="79" t="s">
        <v>2696</v>
      </c>
      <c r="BO677" s="79" t="s">
        <v>2696</v>
      </c>
      <c r="BP677" s="79" t="s">
        <v>2696</v>
      </c>
      <c r="BQ677" s="79">
        <v>0</v>
      </c>
      <c r="BR677" s="79">
        <v>0</v>
      </c>
      <c r="BS677" s="79">
        <v>0</v>
      </c>
      <c r="BT677" s="79" t="s">
        <v>2696</v>
      </c>
      <c r="BU677" s="79">
        <v>0</v>
      </c>
      <c r="BV677" s="79" t="s">
        <v>2699</v>
      </c>
      <c r="BW677" s="79">
        <v>0</v>
      </c>
      <c r="BX677" s="79" t="s">
        <v>2696</v>
      </c>
      <c r="BY677" s="79" t="s">
        <v>2696</v>
      </c>
      <c r="BZ677" s="79" t="s">
        <v>2696</v>
      </c>
      <c r="CA677" s="79" t="s">
        <v>2696</v>
      </c>
      <c r="CB677" s="79" t="s">
        <v>2696</v>
      </c>
      <c r="CC677" s="79" t="s">
        <v>2696</v>
      </c>
      <c r="CD677" s="79" t="s">
        <v>2696</v>
      </c>
      <c r="CE677" s="79"/>
      <c r="CF677" s="79" t="s">
        <v>1419</v>
      </c>
      <c r="CG677" s="79" t="s">
        <v>1420</v>
      </c>
      <c r="CH677" s="79"/>
      <c r="CI677" s="79"/>
      <c r="CJ677" s="79"/>
      <c r="CK677" s="145">
        <v>2</v>
      </c>
      <c r="CL677"/>
    </row>
    <row r="678" spans="1:90">
      <c r="A678" s="83" t="s">
        <v>1231</v>
      </c>
      <c r="B678" s="83" t="s">
        <v>735</v>
      </c>
      <c r="D678" s="83" t="s">
        <v>688</v>
      </c>
      <c r="E678" s="83" t="s">
        <v>735</v>
      </c>
      <c r="F678" s="83" t="s">
        <v>1337</v>
      </c>
      <c r="G678" s="83" t="s">
        <v>1335</v>
      </c>
      <c r="H678" s="83" t="s">
        <v>1201</v>
      </c>
      <c r="I678" s="83" t="s">
        <v>1202</v>
      </c>
      <c r="J678" s="83" t="s">
        <v>1203</v>
      </c>
      <c r="K678" s="83" t="s">
        <v>565</v>
      </c>
      <c r="L678" s="83" t="s">
        <v>398</v>
      </c>
      <c r="M678" s="83" t="s">
        <v>399</v>
      </c>
      <c r="N678" s="83" t="s">
        <v>3001</v>
      </c>
      <c r="O678" s="83" t="s">
        <v>106</v>
      </c>
      <c r="P678" s="83">
        <v>8</v>
      </c>
      <c r="Q678" s="83" t="s">
        <v>106</v>
      </c>
      <c r="R678" s="83" t="s">
        <v>2691</v>
      </c>
      <c r="S678" s="83" t="s">
        <v>1464</v>
      </c>
      <c r="T678" s="83" t="s">
        <v>2703</v>
      </c>
      <c r="U678" s="83" t="s">
        <v>401</v>
      </c>
      <c r="AC678" s="83" t="s">
        <v>401</v>
      </c>
      <c r="AD678" s="83">
        <v>268000</v>
      </c>
      <c r="AF678" s="83">
        <v>0</v>
      </c>
      <c r="AJ678" s="83">
        <v>1</v>
      </c>
      <c r="AK678" s="83">
        <v>1</v>
      </c>
      <c r="AL678" s="83">
        <v>1872</v>
      </c>
      <c r="AM678" s="83" t="s">
        <v>2693</v>
      </c>
      <c r="BK678" s="83" t="s">
        <v>2694</v>
      </c>
      <c r="BL678" s="83" t="s">
        <v>2693</v>
      </c>
      <c r="BM678" s="83" t="s">
        <v>2725</v>
      </c>
      <c r="BN678" s="83" t="s">
        <v>2698</v>
      </c>
      <c r="BO678" s="83" t="s">
        <v>2697</v>
      </c>
      <c r="BP678" s="83" t="s">
        <v>2697</v>
      </c>
      <c r="BQ678" s="83" t="s">
        <v>2699</v>
      </c>
      <c r="BR678" s="83" t="s">
        <v>2693</v>
      </c>
      <c r="BS678" s="83" t="s">
        <v>2699</v>
      </c>
      <c r="BT678" s="83" t="s">
        <v>2696</v>
      </c>
      <c r="BU678" s="83" t="s">
        <v>2699</v>
      </c>
      <c r="BV678" s="83" t="s">
        <v>2693</v>
      </c>
      <c r="BW678" s="83" t="s">
        <v>2695</v>
      </c>
      <c r="BX678" s="83" t="s">
        <v>2696</v>
      </c>
      <c r="BY678" s="83" t="s">
        <v>2699</v>
      </c>
      <c r="BZ678" s="83" t="s">
        <v>2693</v>
      </c>
      <c r="CA678" s="83" t="s">
        <v>2693</v>
      </c>
      <c r="CB678" s="83">
        <v>1</v>
      </c>
      <c r="CC678" s="83" t="s">
        <v>2696</v>
      </c>
      <c r="CD678" s="83" t="s">
        <v>2696</v>
      </c>
      <c r="CF678" s="83" t="s">
        <v>1421</v>
      </c>
      <c r="CG678" s="83" t="s">
        <v>1422</v>
      </c>
      <c r="CH678" s="83" t="s">
        <v>2695</v>
      </c>
      <c r="CI678" s="83" t="s">
        <v>648</v>
      </c>
      <c r="CJ678" s="83" t="s">
        <v>2726</v>
      </c>
      <c r="CK678" s="144">
        <v>0</v>
      </c>
      <c r="CL678"/>
    </row>
    <row r="679" spans="1:90">
      <c r="A679" s="83" t="s">
        <v>1232</v>
      </c>
      <c r="B679" s="83" t="s">
        <v>1016</v>
      </c>
      <c r="D679" s="83" t="s">
        <v>688</v>
      </c>
      <c r="E679" s="83" t="s">
        <v>1016</v>
      </c>
      <c r="F679" s="83" t="s">
        <v>1338</v>
      </c>
      <c r="G679" s="83" t="s">
        <v>1339</v>
      </c>
      <c r="H679" s="83" t="s">
        <v>1201</v>
      </c>
      <c r="I679" s="83" t="s">
        <v>1202</v>
      </c>
      <c r="J679" s="83" t="s">
        <v>1203</v>
      </c>
      <c r="K679" s="83" t="s">
        <v>565</v>
      </c>
      <c r="L679" s="83" t="s">
        <v>398</v>
      </c>
      <c r="M679" s="83" t="s">
        <v>399</v>
      </c>
      <c r="N679" s="83" t="s">
        <v>1909</v>
      </c>
      <c r="O679" s="83" t="s">
        <v>106</v>
      </c>
      <c r="P679" s="83">
        <v>9</v>
      </c>
      <c r="Q679" s="83" t="s">
        <v>106</v>
      </c>
      <c r="R679" s="83" t="s">
        <v>2691</v>
      </c>
      <c r="S679" s="83" t="s">
        <v>1457</v>
      </c>
      <c r="T679" s="83" t="s">
        <v>2703</v>
      </c>
      <c r="U679" s="83" t="s">
        <v>401</v>
      </c>
      <c r="AC679" s="83" t="s">
        <v>401</v>
      </c>
      <c r="AD679" s="83">
        <v>20624000</v>
      </c>
      <c r="AF679" s="83">
        <v>1554000</v>
      </c>
      <c r="AJ679" s="83">
        <v>1</v>
      </c>
      <c r="AK679" s="83">
        <v>1</v>
      </c>
      <c r="AL679" s="83">
        <v>120232</v>
      </c>
      <c r="AM679" s="83" t="s">
        <v>2693</v>
      </c>
      <c r="BK679" s="83" t="s">
        <v>2694</v>
      </c>
      <c r="BL679" s="83" t="s">
        <v>2693</v>
      </c>
      <c r="BM679" s="83" t="s">
        <v>2698</v>
      </c>
      <c r="BN679" s="83" t="s">
        <v>2698</v>
      </c>
      <c r="BO679" s="83" t="s">
        <v>2693</v>
      </c>
      <c r="BP679" s="83" t="s">
        <v>2697</v>
      </c>
      <c r="BQ679" s="83" t="s">
        <v>2699</v>
      </c>
      <c r="BR679" s="83" t="s">
        <v>2693</v>
      </c>
      <c r="BS679" s="83" t="s">
        <v>2699</v>
      </c>
      <c r="BT679" s="83" t="s">
        <v>2696</v>
      </c>
      <c r="BU679" s="83" t="s">
        <v>2699</v>
      </c>
      <c r="BV679" s="83" t="s">
        <v>2696</v>
      </c>
      <c r="BW679" s="83" t="s">
        <v>2693</v>
      </c>
      <c r="BX679" s="83" t="s">
        <v>2696</v>
      </c>
      <c r="BY679" s="83" t="s">
        <v>2699</v>
      </c>
      <c r="BZ679" s="83" t="s">
        <v>2693</v>
      </c>
      <c r="CA679" s="83" t="s">
        <v>2693</v>
      </c>
      <c r="CB679" s="83">
        <v>1</v>
      </c>
      <c r="CC679" s="83" t="s">
        <v>2699</v>
      </c>
      <c r="CD679" s="83" t="s">
        <v>2699</v>
      </c>
      <c r="CF679" s="83" t="s">
        <v>1423</v>
      </c>
      <c r="CG679" s="83" t="s">
        <v>1424</v>
      </c>
      <c r="CH679" s="83" t="s">
        <v>2697</v>
      </c>
      <c r="CI679" s="83" t="s">
        <v>648</v>
      </c>
      <c r="CJ679" s="83" t="s">
        <v>2757</v>
      </c>
      <c r="CK679" s="144">
        <v>2</v>
      </c>
      <c r="CL679" s="99">
        <v>887000</v>
      </c>
    </row>
    <row r="680" spans="1:90" s="79" customFormat="1">
      <c r="A680" s="83" t="s">
        <v>1232</v>
      </c>
      <c r="B680" s="83" t="s">
        <v>1016</v>
      </c>
      <c r="C680" s="83"/>
      <c r="D680" s="83" t="s">
        <v>673</v>
      </c>
      <c r="E680" s="83" t="s">
        <v>1281</v>
      </c>
      <c r="F680" s="83" t="s">
        <v>1338</v>
      </c>
      <c r="G680" s="83" t="s">
        <v>1339</v>
      </c>
      <c r="H680" s="83" t="s">
        <v>1201</v>
      </c>
      <c r="I680" s="83" t="s">
        <v>1202</v>
      </c>
      <c r="J680" s="83" t="s">
        <v>1203</v>
      </c>
      <c r="K680" s="83" t="s">
        <v>565</v>
      </c>
      <c r="L680" s="83" t="s">
        <v>398</v>
      </c>
      <c r="M680" s="83" t="s">
        <v>399</v>
      </c>
      <c r="N680" s="83" t="s">
        <v>1909</v>
      </c>
      <c r="O680" s="83" t="s">
        <v>106</v>
      </c>
      <c r="P680" s="83">
        <v>9</v>
      </c>
      <c r="Q680" s="83" t="s">
        <v>106</v>
      </c>
      <c r="R680" s="83" t="s">
        <v>3444</v>
      </c>
      <c r="S680" s="83" t="s">
        <v>1457</v>
      </c>
      <c r="T680" s="83" t="s">
        <v>2703</v>
      </c>
      <c r="U680" s="83" t="s">
        <v>401</v>
      </c>
      <c r="V680" s="97"/>
      <c r="W680" s="97"/>
      <c r="X680" s="97"/>
      <c r="Y680" s="97"/>
      <c r="Z680" s="97"/>
      <c r="AA680" s="97"/>
      <c r="AB680" s="97"/>
      <c r="AC680" s="83" t="s">
        <v>401</v>
      </c>
      <c r="AD680" s="83">
        <v>1484000</v>
      </c>
      <c r="AE680" s="83"/>
      <c r="AF680" s="83">
        <v>0</v>
      </c>
      <c r="AG680" s="83"/>
      <c r="AH680" s="83"/>
      <c r="AI680" s="83"/>
      <c r="AJ680" s="83">
        <v>1</v>
      </c>
      <c r="AK680" s="83">
        <v>1</v>
      </c>
      <c r="AL680" s="83">
        <v>41600</v>
      </c>
      <c r="AM680" s="83" t="s">
        <v>2693</v>
      </c>
      <c r="AN680" s="83"/>
      <c r="AO680" s="83"/>
      <c r="AP680" s="83"/>
      <c r="AQ680" s="83"/>
      <c r="AR680" s="83"/>
      <c r="AS680" s="83"/>
      <c r="AT680" s="83"/>
      <c r="AU680" s="83"/>
      <c r="AV680" s="83"/>
      <c r="AW680" s="83"/>
      <c r="AX680" s="83"/>
      <c r="AY680" s="83"/>
      <c r="AZ680" s="83"/>
      <c r="BA680" s="83"/>
      <c r="BB680" s="83"/>
      <c r="BC680" s="83"/>
      <c r="BD680" s="83"/>
      <c r="BE680" s="83"/>
      <c r="BF680" s="83"/>
      <c r="BG680" s="83"/>
      <c r="BH680" s="83"/>
      <c r="BI680" s="83"/>
      <c r="BJ680" s="83"/>
      <c r="BK680" s="83" t="s">
        <v>2694</v>
      </c>
      <c r="BL680" s="83" t="s">
        <v>2693</v>
      </c>
      <c r="BM680" s="83" t="s">
        <v>2698</v>
      </c>
      <c r="BN680" s="83" t="s">
        <v>2698</v>
      </c>
      <c r="BO680" s="83" t="s">
        <v>2693</v>
      </c>
      <c r="BP680" s="83" t="s">
        <v>2697</v>
      </c>
      <c r="BQ680" s="83" t="s">
        <v>2699</v>
      </c>
      <c r="BR680" s="83" t="s">
        <v>2693</v>
      </c>
      <c r="BS680" s="83" t="s">
        <v>2699</v>
      </c>
      <c r="BT680" s="83" t="s">
        <v>2696</v>
      </c>
      <c r="BU680" s="83" t="s">
        <v>2699</v>
      </c>
      <c r="BV680" s="83" t="s">
        <v>2696</v>
      </c>
      <c r="BW680" s="83" t="s">
        <v>2696</v>
      </c>
      <c r="BX680" s="83" t="s">
        <v>2696</v>
      </c>
      <c r="BY680" s="83" t="s">
        <v>2699</v>
      </c>
      <c r="BZ680" s="83" t="s">
        <v>2693</v>
      </c>
      <c r="CA680" s="83" t="s">
        <v>2693</v>
      </c>
      <c r="CB680" s="83">
        <v>9</v>
      </c>
      <c r="CC680" s="83" t="s">
        <v>2699</v>
      </c>
      <c r="CD680" s="83" t="s">
        <v>2696</v>
      </c>
      <c r="CE680" s="83"/>
      <c r="CF680" s="83" t="s">
        <v>1425</v>
      </c>
      <c r="CG680" s="83" t="s">
        <v>1426</v>
      </c>
      <c r="CH680" s="83" t="s">
        <v>2697</v>
      </c>
      <c r="CI680" s="83" t="s">
        <v>648</v>
      </c>
      <c r="CJ680" s="83" t="s">
        <v>2757</v>
      </c>
      <c r="CK680" s="144">
        <v>2</v>
      </c>
      <c r="CL680"/>
    </row>
    <row r="681" spans="1:90" s="79" customFormat="1">
      <c r="A681" s="83" t="s">
        <v>1232</v>
      </c>
      <c r="B681" s="83" t="s">
        <v>1016</v>
      </c>
      <c r="C681" s="83"/>
      <c r="D681" s="83" t="s">
        <v>714</v>
      </c>
      <c r="E681" s="83" t="s">
        <v>1282</v>
      </c>
      <c r="F681" s="83" t="s">
        <v>1338</v>
      </c>
      <c r="G681" s="83" t="s">
        <v>1339</v>
      </c>
      <c r="H681" s="83" t="s">
        <v>1201</v>
      </c>
      <c r="I681" s="83" t="s">
        <v>1202</v>
      </c>
      <c r="J681" s="83" t="s">
        <v>1203</v>
      </c>
      <c r="K681" s="83" t="s">
        <v>565</v>
      </c>
      <c r="L681" s="83" t="s">
        <v>398</v>
      </c>
      <c r="M681" s="83" t="s">
        <v>399</v>
      </c>
      <c r="N681" s="83" t="s">
        <v>1909</v>
      </c>
      <c r="O681" s="83" t="s">
        <v>106</v>
      </c>
      <c r="P681" s="83">
        <v>9</v>
      </c>
      <c r="Q681" s="83" t="s">
        <v>106</v>
      </c>
      <c r="R681" s="83" t="s">
        <v>3444</v>
      </c>
      <c r="S681" s="83" t="s">
        <v>1457</v>
      </c>
      <c r="T681" s="83" t="s">
        <v>2703</v>
      </c>
      <c r="U681" s="83" t="s">
        <v>401</v>
      </c>
      <c r="V681" s="97"/>
      <c r="W681" s="97"/>
      <c r="X681" s="97"/>
      <c r="Y681" s="97"/>
      <c r="Z681" s="97"/>
      <c r="AA681" s="97"/>
      <c r="AB681" s="97"/>
      <c r="AC681" s="83" t="s">
        <v>401</v>
      </c>
      <c r="AD681" s="83">
        <v>986000</v>
      </c>
      <c r="AE681" s="83"/>
      <c r="AF681" s="83">
        <v>0</v>
      </c>
      <c r="AG681" s="83"/>
      <c r="AH681" s="83"/>
      <c r="AI681" s="83"/>
      <c r="AJ681" s="83">
        <v>1</v>
      </c>
      <c r="AK681" s="83">
        <v>1</v>
      </c>
      <c r="AL681" s="83">
        <v>24000</v>
      </c>
      <c r="AM681" s="83" t="s">
        <v>2693</v>
      </c>
      <c r="AN681" s="83"/>
      <c r="AO681" s="83"/>
      <c r="AP681" s="83"/>
      <c r="AQ681" s="83"/>
      <c r="AR681" s="83"/>
      <c r="AS681" s="83"/>
      <c r="AT681" s="83"/>
      <c r="AU681" s="83"/>
      <c r="AV681" s="83"/>
      <c r="AW681" s="83"/>
      <c r="AX681" s="83"/>
      <c r="AY681" s="83"/>
      <c r="AZ681" s="83"/>
      <c r="BA681" s="83"/>
      <c r="BB681" s="83"/>
      <c r="BC681" s="83"/>
      <c r="BD681" s="83"/>
      <c r="BE681" s="83"/>
      <c r="BF681" s="83"/>
      <c r="BG681" s="83"/>
      <c r="BH681" s="83"/>
      <c r="BI681" s="83"/>
      <c r="BJ681" s="83"/>
      <c r="BK681" s="83" t="s">
        <v>2694</v>
      </c>
      <c r="BL681" s="83" t="s">
        <v>2693</v>
      </c>
      <c r="BM681" s="83" t="s">
        <v>2698</v>
      </c>
      <c r="BN681" s="83" t="s">
        <v>2698</v>
      </c>
      <c r="BO681" s="83" t="s">
        <v>2693</v>
      </c>
      <c r="BP681" s="83" t="s">
        <v>2697</v>
      </c>
      <c r="BQ681" s="83" t="s">
        <v>2699</v>
      </c>
      <c r="BR681" s="83" t="s">
        <v>2693</v>
      </c>
      <c r="BS681" s="83" t="s">
        <v>2699</v>
      </c>
      <c r="BT681" s="83" t="s">
        <v>2696</v>
      </c>
      <c r="BU681" s="83" t="s">
        <v>2699</v>
      </c>
      <c r="BV681" s="83" t="s">
        <v>2696</v>
      </c>
      <c r="BW681" s="83" t="s">
        <v>2696</v>
      </c>
      <c r="BX681" s="83" t="s">
        <v>2696</v>
      </c>
      <c r="BY681" s="83" t="s">
        <v>2699</v>
      </c>
      <c r="BZ681" s="83" t="s">
        <v>2693</v>
      </c>
      <c r="CA681" s="83" t="s">
        <v>2693</v>
      </c>
      <c r="CB681" s="83">
        <v>9</v>
      </c>
      <c r="CC681" s="83" t="s">
        <v>2699</v>
      </c>
      <c r="CD681" s="83" t="s">
        <v>2696</v>
      </c>
      <c r="CE681" s="83"/>
      <c r="CF681" s="83" t="s">
        <v>1427</v>
      </c>
      <c r="CG681" s="83" t="s">
        <v>1428</v>
      </c>
      <c r="CH681" s="83" t="s">
        <v>2697</v>
      </c>
      <c r="CI681" s="83" t="s">
        <v>648</v>
      </c>
      <c r="CJ681" s="83" t="s">
        <v>2757</v>
      </c>
      <c r="CK681" s="144">
        <v>2</v>
      </c>
      <c r="CL681"/>
    </row>
    <row r="682" spans="1:90" s="79" customFormat="1">
      <c r="A682" s="83" t="s">
        <v>1232</v>
      </c>
      <c r="B682" s="83" t="s">
        <v>1016</v>
      </c>
      <c r="C682" s="83"/>
      <c r="D682" s="83" t="s">
        <v>716</v>
      </c>
      <c r="E682" s="83" t="s">
        <v>1283</v>
      </c>
      <c r="F682" s="83" t="s">
        <v>1338</v>
      </c>
      <c r="G682" s="83" t="s">
        <v>1339</v>
      </c>
      <c r="H682" s="83" t="s">
        <v>1201</v>
      </c>
      <c r="I682" s="83" t="s">
        <v>1202</v>
      </c>
      <c r="J682" s="83" t="s">
        <v>1203</v>
      </c>
      <c r="K682" s="83" t="s">
        <v>565</v>
      </c>
      <c r="L682" s="83" t="s">
        <v>398</v>
      </c>
      <c r="M682" s="83" t="s">
        <v>399</v>
      </c>
      <c r="N682" s="83" t="s">
        <v>1909</v>
      </c>
      <c r="O682" s="83" t="s">
        <v>106</v>
      </c>
      <c r="P682" s="83">
        <v>9</v>
      </c>
      <c r="Q682" s="83" t="s">
        <v>106</v>
      </c>
      <c r="R682" s="83" t="s">
        <v>3444</v>
      </c>
      <c r="S682" s="83" t="s">
        <v>1457</v>
      </c>
      <c r="T682" s="83" t="s">
        <v>2703</v>
      </c>
      <c r="U682" s="83" t="s">
        <v>401</v>
      </c>
      <c r="V682" s="97"/>
      <c r="W682" s="97"/>
      <c r="X682" s="97"/>
      <c r="Y682" s="97"/>
      <c r="Z682" s="97"/>
      <c r="AA682" s="97"/>
      <c r="AB682" s="97"/>
      <c r="AC682" s="83" t="s">
        <v>401</v>
      </c>
      <c r="AD682" s="83">
        <v>986000</v>
      </c>
      <c r="AE682" s="83"/>
      <c r="AF682" s="83">
        <v>0</v>
      </c>
      <c r="AG682" s="83"/>
      <c r="AH682" s="83"/>
      <c r="AI682" s="83"/>
      <c r="AJ682" s="83">
        <v>1</v>
      </c>
      <c r="AK682" s="83">
        <v>1</v>
      </c>
      <c r="AL682" s="83">
        <v>24000</v>
      </c>
      <c r="AM682" s="83" t="s">
        <v>2693</v>
      </c>
      <c r="AN682" s="83"/>
      <c r="AO682" s="83"/>
      <c r="AP682" s="83"/>
      <c r="AQ682" s="83"/>
      <c r="AR682" s="83"/>
      <c r="AS682" s="83"/>
      <c r="AT682" s="83"/>
      <c r="AU682" s="83"/>
      <c r="AV682" s="83"/>
      <c r="AW682" s="83"/>
      <c r="AX682" s="83"/>
      <c r="AY682" s="83"/>
      <c r="AZ682" s="83"/>
      <c r="BA682" s="83"/>
      <c r="BB682" s="83"/>
      <c r="BC682" s="83"/>
      <c r="BD682" s="83"/>
      <c r="BE682" s="83"/>
      <c r="BF682" s="83"/>
      <c r="BG682" s="83"/>
      <c r="BH682" s="83"/>
      <c r="BI682" s="83"/>
      <c r="BJ682" s="83"/>
      <c r="BK682" s="83" t="s">
        <v>2694</v>
      </c>
      <c r="BL682" s="83" t="s">
        <v>2693</v>
      </c>
      <c r="BM682" s="83" t="s">
        <v>2698</v>
      </c>
      <c r="BN682" s="83" t="s">
        <v>2698</v>
      </c>
      <c r="BO682" s="83" t="s">
        <v>2693</v>
      </c>
      <c r="BP682" s="83" t="s">
        <v>2697</v>
      </c>
      <c r="BQ682" s="83" t="s">
        <v>2699</v>
      </c>
      <c r="BR682" s="83" t="s">
        <v>2693</v>
      </c>
      <c r="BS682" s="83" t="s">
        <v>2699</v>
      </c>
      <c r="BT682" s="83" t="s">
        <v>2696</v>
      </c>
      <c r="BU682" s="83" t="s">
        <v>2699</v>
      </c>
      <c r="BV682" s="83" t="s">
        <v>2696</v>
      </c>
      <c r="BW682" s="83" t="s">
        <v>2696</v>
      </c>
      <c r="BX682" s="83" t="s">
        <v>2696</v>
      </c>
      <c r="BY682" s="83" t="s">
        <v>2699</v>
      </c>
      <c r="BZ682" s="83" t="s">
        <v>2693</v>
      </c>
      <c r="CA682" s="83" t="s">
        <v>2693</v>
      </c>
      <c r="CB682" s="83">
        <v>9</v>
      </c>
      <c r="CC682" s="83" t="s">
        <v>2699</v>
      </c>
      <c r="CD682" s="83" t="s">
        <v>2696</v>
      </c>
      <c r="CE682" s="83"/>
      <c r="CF682" s="83" t="s">
        <v>1429</v>
      </c>
      <c r="CG682" s="83" t="s">
        <v>1430</v>
      </c>
      <c r="CH682" s="83" t="s">
        <v>2697</v>
      </c>
      <c r="CI682" s="83" t="s">
        <v>648</v>
      </c>
      <c r="CJ682" s="83" t="s">
        <v>2757</v>
      </c>
      <c r="CK682" s="144">
        <v>2</v>
      </c>
      <c r="CL682"/>
    </row>
    <row r="683" spans="1:90" s="79" customFormat="1">
      <c r="A683" s="83" t="s">
        <v>1232</v>
      </c>
      <c r="B683" s="83" t="s">
        <v>1016</v>
      </c>
      <c r="C683" s="83"/>
      <c r="D683" s="83" t="s">
        <v>717</v>
      </c>
      <c r="E683" s="83" t="s">
        <v>1284</v>
      </c>
      <c r="F683" s="83" t="s">
        <v>1338</v>
      </c>
      <c r="G683" s="83" t="s">
        <v>1339</v>
      </c>
      <c r="H683" s="83" t="s">
        <v>1201</v>
      </c>
      <c r="I683" s="83" t="s">
        <v>1202</v>
      </c>
      <c r="J683" s="83" t="s">
        <v>1203</v>
      </c>
      <c r="K683" s="83" t="s">
        <v>565</v>
      </c>
      <c r="L683" s="83" t="s">
        <v>398</v>
      </c>
      <c r="M683" s="83" t="s">
        <v>399</v>
      </c>
      <c r="N683" s="83" t="s">
        <v>1909</v>
      </c>
      <c r="O683" s="83" t="s">
        <v>106</v>
      </c>
      <c r="P683" s="83">
        <v>9</v>
      </c>
      <c r="Q683" s="83" t="s">
        <v>106</v>
      </c>
      <c r="R683" s="83" t="s">
        <v>3444</v>
      </c>
      <c r="S683" s="83" t="s">
        <v>1457</v>
      </c>
      <c r="T683" s="83" t="s">
        <v>2703</v>
      </c>
      <c r="U683" s="83" t="s">
        <v>401</v>
      </c>
      <c r="V683" s="97"/>
      <c r="W683" s="97"/>
      <c r="X683" s="97"/>
      <c r="Y683" s="97"/>
      <c r="Z683" s="97"/>
      <c r="AA683" s="97"/>
      <c r="AB683" s="97"/>
      <c r="AC683" s="83" t="s">
        <v>401</v>
      </c>
      <c r="AD683" s="83">
        <v>986000</v>
      </c>
      <c r="AE683" s="83"/>
      <c r="AF683" s="83">
        <v>0</v>
      </c>
      <c r="AG683" s="83"/>
      <c r="AH683" s="83"/>
      <c r="AI683" s="83"/>
      <c r="AJ683" s="83">
        <v>1</v>
      </c>
      <c r="AK683" s="83">
        <v>1</v>
      </c>
      <c r="AL683" s="83">
        <v>24000</v>
      </c>
      <c r="AM683" s="83" t="s">
        <v>2693</v>
      </c>
      <c r="AN683" s="83"/>
      <c r="AO683" s="83"/>
      <c r="AP683" s="83"/>
      <c r="AQ683" s="83"/>
      <c r="AR683" s="83"/>
      <c r="AS683" s="83"/>
      <c r="AT683" s="83"/>
      <c r="AU683" s="83"/>
      <c r="AV683" s="83"/>
      <c r="AW683" s="83"/>
      <c r="AX683" s="83"/>
      <c r="AY683" s="83"/>
      <c r="AZ683" s="83"/>
      <c r="BA683" s="83"/>
      <c r="BB683" s="83"/>
      <c r="BC683" s="83"/>
      <c r="BD683" s="83"/>
      <c r="BE683" s="83"/>
      <c r="BF683" s="83"/>
      <c r="BG683" s="83"/>
      <c r="BH683" s="83"/>
      <c r="BI683" s="83"/>
      <c r="BJ683" s="83"/>
      <c r="BK683" s="83" t="s">
        <v>2694</v>
      </c>
      <c r="BL683" s="83" t="s">
        <v>2693</v>
      </c>
      <c r="BM683" s="83" t="s">
        <v>2698</v>
      </c>
      <c r="BN683" s="83" t="s">
        <v>2698</v>
      </c>
      <c r="BO683" s="83" t="s">
        <v>2693</v>
      </c>
      <c r="BP683" s="83" t="s">
        <v>2697</v>
      </c>
      <c r="BQ683" s="83" t="s">
        <v>2699</v>
      </c>
      <c r="BR683" s="83" t="s">
        <v>2693</v>
      </c>
      <c r="BS683" s="83" t="s">
        <v>2699</v>
      </c>
      <c r="BT683" s="83" t="s">
        <v>2696</v>
      </c>
      <c r="BU683" s="83" t="s">
        <v>2699</v>
      </c>
      <c r="BV683" s="83" t="s">
        <v>2696</v>
      </c>
      <c r="BW683" s="83" t="s">
        <v>2696</v>
      </c>
      <c r="BX683" s="83" t="s">
        <v>2696</v>
      </c>
      <c r="BY683" s="83" t="s">
        <v>2699</v>
      </c>
      <c r="BZ683" s="83" t="s">
        <v>2693</v>
      </c>
      <c r="CA683" s="83" t="s">
        <v>2693</v>
      </c>
      <c r="CB683" s="83">
        <v>9</v>
      </c>
      <c r="CC683" s="83" t="s">
        <v>2699</v>
      </c>
      <c r="CD683" s="83" t="s">
        <v>2696</v>
      </c>
      <c r="CE683" s="83"/>
      <c r="CF683" s="83" t="s">
        <v>1431</v>
      </c>
      <c r="CG683" s="83" t="s">
        <v>1432</v>
      </c>
      <c r="CH683" s="83" t="s">
        <v>2697</v>
      </c>
      <c r="CI683" s="83" t="s">
        <v>648</v>
      </c>
      <c r="CJ683" s="83" t="s">
        <v>2757</v>
      </c>
      <c r="CK683" s="144">
        <v>2</v>
      </c>
      <c r="CL683"/>
    </row>
    <row r="684" spans="1:90" s="79" customFormat="1">
      <c r="A684" s="83" t="s">
        <v>1232</v>
      </c>
      <c r="B684" s="83" t="s">
        <v>1016</v>
      </c>
      <c r="C684" s="83"/>
      <c r="D684" s="83" t="s">
        <v>840</v>
      </c>
      <c r="E684" s="83" t="s">
        <v>675</v>
      </c>
      <c r="F684" s="83" t="s">
        <v>1338</v>
      </c>
      <c r="G684" s="83" t="s">
        <v>1339</v>
      </c>
      <c r="H684" s="83" t="s">
        <v>1201</v>
      </c>
      <c r="I684" s="83" t="s">
        <v>1202</v>
      </c>
      <c r="J684" s="83" t="s">
        <v>1203</v>
      </c>
      <c r="K684" s="83" t="s">
        <v>565</v>
      </c>
      <c r="L684" s="83" t="s">
        <v>398</v>
      </c>
      <c r="M684" s="83" t="s">
        <v>399</v>
      </c>
      <c r="N684" s="83" t="s">
        <v>1909</v>
      </c>
      <c r="O684" s="83" t="s">
        <v>106</v>
      </c>
      <c r="P684" s="83">
        <v>8</v>
      </c>
      <c r="Q684" s="83" t="s">
        <v>106</v>
      </c>
      <c r="R684" s="83" t="s">
        <v>2691</v>
      </c>
      <c r="S684" s="83" t="s">
        <v>1459</v>
      </c>
      <c r="T684" s="83" t="s">
        <v>2703</v>
      </c>
      <c r="U684" s="83" t="s">
        <v>401</v>
      </c>
      <c r="V684" s="97"/>
      <c r="W684" s="97"/>
      <c r="X684" s="97"/>
      <c r="Y684" s="97"/>
      <c r="Z684" s="97"/>
      <c r="AA684" s="97"/>
      <c r="AB684" s="97"/>
      <c r="AC684" s="83" t="s">
        <v>401</v>
      </c>
      <c r="AD684" s="83">
        <v>6094000</v>
      </c>
      <c r="AE684" s="83"/>
      <c r="AF684" s="83">
        <v>363000</v>
      </c>
      <c r="AG684" s="83"/>
      <c r="AH684" s="83"/>
      <c r="AI684" s="83"/>
      <c r="AJ684" s="83">
        <v>1</v>
      </c>
      <c r="AK684" s="83">
        <v>1</v>
      </c>
      <c r="AL684" s="83">
        <v>36710</v>
      </c>
      <c r="AM684" s="83" t="s">
        <v>2693</v>
      </c>
      <c r="AN684" s="83"/>
      <c r="AO684" s="83"/>
      <c r="AP684" s="83"/>
      <c r="AQ684" s="83"/>
      <c r="AR684" s="83"/>
      <c r="AS684" s="83"/>
      <c r="AT684" s="83"/>
      <c r="AU684" s="83"/>
      <c r="AV684" s="83"/>
      <c r="AW684" s="83"/>
      <c r="AX684" s="83"/>
      <c r="AY684" s="83"/>
      <c r="AZ684" s="83"/>
      <c r="BA684" s="83"/>
      <c r="BB684" s="83"/>
      <c r="BC684" s="83"/>
      <c r="BD684" s="83"/>
      <c r="BE684" s="83"/>
      <c r="BF684" s="83"/>
      <c r="BG684" s="83"/>
      <c r="BH684" s="83"/>
      <c r="BI684" s="83"/>
      <c r="BJ684" s="83"/>
      <c r="BK684" s="83" t="s">
        <v>2694</v>
      </c>
      <c r="BL684" s="83" t="s">
        <v>2693</v>
      </c>
      <c r="BM684" s="83" t="s">
        <v>2698</v>
      </c>
      <c r="BN684" s="83" t="s">
        <v>2698</v>
      </c>
      <c r="BO684" s="83" t="s">
        <v>2699</v>
      </c>
      <c r="BP684" s="83" t="s">
        <v>2697</v>
      </c>
      <c r="BQ684" s="83" t="s">
        <v>2699</v>
      </c>
      <c r="BR684" s="83" t="s">
        <v>2693</v>
      </c>
      <c r="BS684" s="83" t="s">
        <v>2699</v>
      </c>
      <c r="BT684" s="83" t="s">
        <v>2696</v>
      </c>
      <c r="BU684" s="83" t="s">
        <v>2699</v>
      </c>
      <c r="BV684" s="83" t="s">
        <v>2696</v>
      </c>
      <c r="BW684" s="83" t="s">
        <v>2695</v>
      </c>
      <c r="BX684" s="83" t="s">
        <v>2696</v>
      </c>
      <c r="BY684" s="83" t="s">
        <v>2699</v>
      </c>
      <c r="BZ684" s="83" t="s">
        <v>2693</v>
      </c>
      <c r="CA684" s="83" t="s">
        <v>2693</v>
      </c>
      <c r="CB684" s="83">
        <v>3</v>
      </c>
      <c r="CC684" s="83" t="s">
        <v>2699</v>
      </c>
      <c r="CD684" s="83" t="s">
        <v>2699</v>
      </c>
      <c r="CE684" s="83"/>
      <c r="CF684" s="83" t="s">
        <v>1433</v>
      </c>
      <c r="CG684" s="83" t="s">
        <v>1434</v>
      </c>
      <c r="CH684" s="83" t="s">
        <v>2695</v>
      </c>
      <c r="CI684" s="83" t="s">
        <v>648</v>
      </c>
      <c r="CJ684" s="83" t="s">
        <v>2726</v>
      </c>
      <c r="CK684" s="144">
        <v>2</v>
      </c>
      <c r="CL684"/>
    </row>
    <row r="685" spans="1:90" s="79" customFormat="1">
      <c r="A685" s="83" t="s">
        <v>1232</v>
      </c>
      <c r="B685" s="83" t="s">
        <v>1016</v>
      </c>
      <c r="C685" s="83"/>
      <c r="D685" s="83" t="s">
        <v>843</v>
      </c>
      <c r="E685" s="83" t="s">
        <v>763</v>
      </c>
      <c r="F685" s="83" t="s">
        <v>1338</v>
      </c>
      <c r="G685" s="83" t="s">
        <v>1339</v>
      </c>
      <c r="H685" s="83" t="s">
        <v>1201</v>
      </c>
      <c r="I685" s="83" t="s">
        <v>1202</v>
      </c>
      <c r="J685" s="83" t="s">
        <v>1203</v>
      </c>
      <c r="K685" s="83" t="s">
        <v>565</v>
      </c>
      <c r="L685" s="83" t="s">
        <v>398</v>
      </c>
      <c r="M685" s="83" t="s">
        <v>399</v>
      </c>
      <c r="N685" s="83" t="s">
        <v>1909</v>
      </c>
      <c r="O685" s="83" t="s">
        <v>106</v>
      </c>
      <c r="P685" s="83">
        <v>8</v>
      </c>
      <c r="Q685" s="83" t="s">
        <v>106</v>
      </c>
      <c r="R685" s="83" t="s">
        <v>2691</v>
      </c>
      <c r="S685" s="83" t="s">
        <v>1459</v>
      </c>
      <c r="T685" s="83" t="s">
        <v>2703</v>
      </c>
      <c r="U685" s="83" t="s">
        <v>401</v>
      </c>
      <c r="V685" s="97"/>
      <c r="W685" s="97"/>
      <c r="X685" s="97"/>
      <c r="Y685" s="97"/>
      <c r="Z685" s="97"/>
      <c r="AA685" s="97"/>
      <c r="AB685" s="97"/>
      <c r="AC685" s="83" t="s">
        <v>401</v>
      </c>
      <c r="AD685" s="83">
        <v>304000</v>
      </c>
      <c r="AE685" s="83"/>
      <c r="AF685" s="83">
        <v>12000</v>
      </c>
      <c r="AG685" s="83"/>
      <c r="AH685" s="83"/>
      <c r="AI685" s="83"/>
      <c r="AJ685" s="83">
        <v>1</v>
      </c>
      <c r="AK685" s="83">
        <v>2</v>
      </c>
      <c r="AL685" s="83">
        <v>2328</v>
      </c>
      <c r="AM685" s="83" t="s">
        <v>2693</v>
      </c>
      <c r="AN685" s="83"/>
      <c r="AO685" s="83"/>
      <c r="AP685" s="83"/>
      <c r="AQ685" s="83"/>
      <c r="AR685" s="83"/>
      <c r="AS685" s="83"/>
      <c r="AT685" s="83"/>
      <c r="AU685" s="83"/>
      <c r="AV685" s="83"/>
      <c r="AW685" s="83"/>
      <c r="AX685" s="83"/>
      <c r="AY685" s="83"/>
      <c r="AZ685" s="83"/>
      <c r="BA685" s="83"/>
      <c r="BB685" s="83"/>
      <c r="BC685" s="83"/>
      <c r="BD685" s="83"/>
      <c r="BE685" s="83"/>
      <c r="BF685" s="83"/>
      <c r="BG685" s="83"/>
      <c r="BH685" s="83"/>
      <c r="BI685" s="83"/>
      <c r="BJ685" s="83"/>
      <c r="BK685" s="83" t="s">
        <v>2694</v>
      </c>
      <c r="BL685" s="83" t="s">
        <v>2693</v>
      </c>
      <c r="BM685" s="83" t="s">
        <v>2697</v>
      </c>
      <c r="BN685" s="83" t="s">
        <v>2698</v>
      </c>
      <c r="BO685" s="83" t="s">
        <v>2693</v>
      </c>
      <c r="BP685" s="83" t="s">
        <v>2695</v>
      </c>
      <c r="BQ685" s="83" t="s">
        <v>2699</v>
      </c>
      <c r="BR685" s="83" t="s">
        <v>2693</v>
      </c>
      <c r="BS685" s="83" t="s">
        <v>2699</v>
      </c>
      <c r="BT685" s="83" t="s">
        <v>2696</v>
      </c>
      <c r="BU685" s="83" t="s">
        <v>2699</v>
      </c>
      <c r="BV685" s="83" t="s">
        <v>2696</v>
      </c>
      <c r="BW685" s="83" t="s">
        <v>2696</v>
      </c>
      <c r="BX685" s="83" t="s">
        <v>2696</v>
      </c>
      <c r="BY685" s="83" t="s">
        <v>2699</v>
      </c>
      <c r="BZ685" s="83" t="s">
        <v>2693</v>
      </c>
      <c r="CA685" s="83" t="s">
        <v>2697</v>
      </c>
      <c r="CB685" s="83">
        <v>9</v>
      </c>
      <c r="CC685" s="83" t="s">
        <v>2699</v>
      </c>
      <c r="CD685" s="83" t="s">
        <v>2696</v>
      </c>
      <c r="CE685" s="83"/>
      <c r="CF685" s="83" t="s">
        <v>1435</v>
      </c>
      <c r="CG685" s="83" t="s">
        <v>1436</v>
      </c>
      <c r="CH685" s="83" t="s">
        <v>2695</v>
      </c>
      <c r="CI685" s="83" t="s">
        <v>648</v>
      </c>
      <c r="CJ685" s="83" t="s">
        <v>2726</v>
      </c>
      <c r="CK685" s="144">
        <v>2</v>
      </c>
      <c r="CL685"/>
    </row>
    <row r="686" spans="1:90" s="79" customFormat="1">
      <c r="A686" s="83" t="s">
        <v>3724</v>
      </c>
      <c r="B686" s="83" t="s">
        <v>1257</v>
      </c>
      <c r="C686" s="83"/>
      <c r="D686" s="83" t="s">
        <v>688</v>
      </c>
      <c r="E686" s="83" t="s">
        <v>1285</v>
      </c>
      <c r="F686" s="83" t="s">
        <v>1340</v>
      </c>
      <c r="G686" s="83" t="s">
        <v>1341</v>
      </c>
      <c r="H686" s="83" t="s">
        <v>1201</v>
      </c>
      <c r="I686" s="83" t="s">
        <v>1202</v>
      </c>
      <c r="J686" s="83" t="s">
        <v>1203</v>
      </c>
      <c r="K686" s="83" t="s">
        <v>565</v>
      </c>
      <c r="L686" s="83" t="s">
        <v>398</v>
      </c>
      <c r="M686" s="83" t="s">
        <v>399</v>
      </c>
      <c r="N686" s="83" t="s">
        <v>2705</v>
      </c>
      <c r="O686" s="83" t="s">
        <v>106</v>
      </c>
      <c r="P686" s="83">
        <v>9</v>
      </c>
      <c r="Q686" s="83" t="s">
        <v>106</v>
      </c>
      <c r="R686" s="83" t="s">
        <v>2691</v>
      </c>
      <c r="S686" s="83" t="s">
        <v>1446</v>
      </c>
      <c r="T686" s="83" t="s">
        <v>2703</v>
      </c>
      <c r="U686" s="83" t="s">
        <v>401</v>
      </c>
      <c r="V686" s="97"/>
      <c r="W686" s="97"/>
      <c r="X686" s="97"/>
      <c r="Y686" s="97"/>
      <c r="Z686" s="97"/>
      <c r="AA686" s="97"/>
      <c r="AB686" s="97"/>
      <c r="AC686" s="83" t="s">
        <v>401</v>
      </c>
      <c r="AD686" s="83">
        <v>0</v>
      </c>
      <c r="AE686" s="83"/>
      <c r="AF686" s="83">
        <v>13000</v>
      </c>
      <c r="AG686" s="83"/>
      <c r="AH686" s="83"/>
      <c r="AI686" s="83"/>
      <c r="AJ686" s="83">
        <v>1</v>
      </c>
      <c r="AK686" s="83">
        <v>1</v>
      </c>
      <c r="AL686" s="83">
        <v>0</v>
      </c>
      <c r="AM686" s="83" t="s">
        <v>2693</v>
      </c>
      <c r="AN686" s="83"/>
      <c r="AO686" s="83"/>
      <c r="AP686" s="83"/>
      <c r="AQ686" s="83"/>
      <c r="AR686" s="83"/>
      <c r="AS686" s="83"/>
      <c r="AT686" s="83"/>
      <c r="AU686" s="83"/>
      <c r="AV686" s="83"/>
      <c r="AW686" s="83"/>
      <c r="AX686" s="83"/>
      <c r="AY686" s="83"/>
      <c r="AZ686" s="83"/>
      <c r="BA686" s="83"/>
      <c r="BB686" s="83"/>
      <c r="BC686" s="83"/>
      <c r="BD686" s="83"/>
      <c r="BE686" s="83"/>
      <c r="BF686" s="83"/>
      <c r="BG686" s="83"/>
      <c r="BH686" s="83"/>
      <c r="BI686" s="83"/>
      <c r="BJ686" s="83"/>
      <c r="BK686" s="83" t="s">
        <v>2694</v>
      </c>
      <c r="BL686" s="83" t="s">
        <v>2696</v>
      </c>
      <c r="BM686" s="83" t="s">
        <v>2696</v>
      </c>
      <c r="BN686" s="83" t="s">
        <v>2696</v>
      </c>
      <c r="BO686" s="83" t="s">
        <v>2696</v>
      </c>
      <c r="BP686" s="83" t="s">
        <v>2696</v>
      </c>
      <c r="BQ686" s="83" t="s">
        <v>2699</v>
      </c>
      <c r="BR686" s="83" t="s">
        <v>2693</v>
      </c>
      <c r="BS686" s="83" t="s">
        <v>2699</v>
      </c>
      <c r="BT686" s="83" t="s">
        <v>2696</v>
      </c>
      <c r="BU686" s="83" t="s">
        <v>2699</v>
      </c>
      <c r="BV686" s="83" t="s">
        <v>2696</v>
      </c>
      <c r="BW686" s="83" t="s">
        <v>2696</v>
      </c>
      <c r="BX686" s="83" t="s">
        <v>2696</v>
      </c>
      <c r="BY686" s="83" t="s">
        <v>2699</v>
      </c>
      <c r="BZ686" s="83" t="s">
        <v>2693</v>
      </c>
      <c r="CA686" s="83" t="s">
        <v>2693</v>
      </c>
      <c r="CB686" s="83">
        <v>9</v>
      </c>
      <c r="CC686" s="83" t="s">
        <v>2696</v>
      </c>
      <c r="CD686" s="83" t="s">
        <v>2696</v>
      </c>
      <c r="CE686" s="83"/>
      <c r="CF686" s="83" t="s">
        <v>1437</v>
      </c>
      <c r="CG686" s="83" t="s">
        <v>1438</v>
      </c>
      <c r="CH686" s="83" t="s">
        <v>2697</v>
      </c>
      <c r="CI686" s="83" t="s">
        <v>648</v>
      </c>
      <c r="CJ686" s="83" t="s">
        <v>2757</v>
      </c>
      <c r="CK686" s="144">
        <v>0</v>
      </c>
      <c r="CL686"/>
    </row>
    <row r="687" spans="1:90" s="79" customFormat="1">
      <c r="A687" s="83" t="s">
        <v>1233</v>
      </c>
      <c r="B687" s="83" t="s">
        <v>1258</v>
      </c>
      <c r="C687" s="83"/>
      <c r="D687" s="83" t="s">
        <v>688</v>
      </c>
      <c r="E687" s="83" t="s">
        <v>1286</v>
      </c>
      <c r="F687" s="83" t="s">
        <v>1342</v>
      </c>
      <c r="G687" s="83" t="s">
        <v>1316</v>
      </c>
      <c r="H687" s="83" t="s">
        <v>1201</v>
      </c>
      <c r="I687" s="83" t="s">
        <v>1202</v>
      </c>
      <c r="J687" s="83" t="s">
        <v>1203</v>
      </c>
      <c r="K687" s="83" t="s">
        <v>565</v>
      </c>
      <c r="L687" s="83" t="s">
        <v>398</v>
      </c>
      <c r="M687" s="83" t="s">
        <v>399</v>
      </c>
      <c r="N687" s="83" t="s">
        <v>2752</v>
      </c>
      <c r="O687" s="83" t="s">
        <v>106</v>
      </c>
      <c r="P687" s="83">
        <v>5</v>
      </c>
      <c r="Q687" s="83" t="s">
        <v>106</v>
      </c>
      <c r="R687" s="83" t="s">
        <v>2799</v>
      </c>
      <c r="S687" s="83" t="s">
        <v>1467</v>
      </c>
      <c r="T687" s="83" t="s">
        <v>1459</v>
      </c>
      <c r="U687" s="83" t="s">
        <v>401</v>
      </c>
      <c r="V687" s="97"/>
      <c r="W687" s="97"/>
      <c r="X687" s="97"/>
      <c r="Y687" s="97"/>
      <c r="Z687" s="97"/>
      <c r="AA687" s="97"/>
      <c r="AB687" s="97"/>
      <c r="AC687" s="83" t="s">
        <v>401</v>
      </c>
      <c r="AD687" s="83">
        <v>44939000</v>
      </c>
      <c r="AE687" s="83"/>
      <c r="AF687" s="83">
        <v>0</v>
      </c>
      <c r="AG687" s="83"/>
      <c r="AH687" s="83"/>
      <c r="AI687" s="83"/>
      <c r="AJ687" s="83">
        <v>1</v>
      </c>
      <c r="AK687" s="83">
        <v>6</v>
      </c>
      <c r="AL687" s="83">
        <v>229732</v>
      </c>
      <c r="AM687" s="83" t="s">
        <v>2693</v>
      </c>
      <c r="AN687" s="83"/>
      <c r="AO687" s="83"/>
      <c r="AP687" s="83"/>
      <c r="AQ687" s="83"/>
      <c r="AR687" s="83"/>
      <c r="AS687" s="83"/>
      <c r="AT687" s="83"/>
      <c r="AU687" s="83"/>
      <c r="AV687" s="83"/>
      <c r="AW687" s="83"/>
      <c r="AX687" s="83"/>
      <c r="AY687" s="83"/>
      <c r="AZ687" s="83"/>
      <c r="BA687" s="83"/>
      <c r="BB687" s="83"/>
      <c r="BC687" s="83"/>
      <c r="BD687" s="83"/>
      <c r="BE687" s="83"/>
      <c r="BF687" s="83"/>
      <c r="BG687" s="83"/>
      <c r="BH687" s="83"/>
      <c r="BI687" s="83"/>
      <c r="BJ687" s="83"/>
      <c r="BK687" s="83" t="s">
        <v>2694</v>
      </c>
      <c r="BL687" s="83" t="s">
        <v>2695</v>
      </c>
      <c r="BM687" s="83" t="s">
        <v>2693</v>
      </c>
      <c r="BN687" s="83" t="s">
        <v>2698</v>
      </c>
      <c r="BO687" s="83" t="s">
        <v>2696</v>
      </c>
      <c r="BP687" s="83" t="s">
        <v>2697</v>
      </c>
      <c r="BQ687" s="83" t="s">
        <v>2696</v>
      </c>
      <c r="BR687" s="83" t="s">
        <v>2693</v>
      </c>
      <c r="BS687" s="83" t="s">
        <v>2699</v>
      </c>
      <c r="BT687" s="83" t="s">
        <v>2696</v>
      </c>
      <c r="BU687" s="83" t="s">
        <v>2695</v>
      </c>
      <c r="BV687" s="83" t="s">
        <v>2693</v>
      </c>
      <c r="BW687" s="83" t="s">
        <v>2695</v>
      </c>
      <c r="BX687" s="83" t="s">
        <v>2696</v>
      </c>
      <c r="BY687" s="83" t="s">
        <v>2699</v>
      </c>
      <c r="BZ687" s="83" t="s">
        <v>2693</v>
      </c>
      <c r="CA687" s="83" t="s">
        <v>2696</v>
      </c>
      <c r="CB687" s="83">
        <v>1</v>
      </c>
      <c r="CC687" s="83" t="s">
        <v>2696</v>
      </c>
      <c r="CD687" s="83" t="s">
        <v>2699</v>
      </c>
      <c r="CE687" s="83"/>
      <c r="CF687" s="83" t="s">
        <v>1387</v>
      </c>
      <c r="CG687" s="83" t="s">
        <v>1439</v>
      </c>
      <c r="CH687" s="83" t="s">
        <v>2725</v>
      </c>
      <c r="CI687" s="83" t="s">
        <v>1358</v>
      </c>
      <c r="CJ687" s="83" t="s">
        <v>2726</v>
      </c>
      <c r="CK687" s="144">
        <v>0</v>
      </c>
      <c r="CL687"/>
    </row>
    <row r="688" spans="1:90" s="79" customFormat="1">
      <c r="A688" s="83" t="s">
        <v>1234</v>
      </c>
      <c r="B688" s="83" t="s">
        <v>701</v>
      </c>
      <c r="C688" s="83"/>
      <c r="D688" s="83" t="s">
        <v>688</v>
      </c>
      <c r="E688" s="83" t="s">
        <v>701</v>
      </c>
      <c r="F688" s="83" t="s">
        <v>1343</v>
      </c>
      <c r="G688" s="83" t="s">
        <v>1344</v>
      </c>
      <c r="H688" s="83" t="s">
        <v>1201</v>
      </c>
      <c r="I688" s="83" t="s">
        <v>1202</v>
      </c>
      <c r="J688" s="83" t="s">
        <v>1203</v>
      </c>
      <c r="K688" s="83" t="s">
        <v>565</v>
      </c>
      <c r="L688" s="83" t="s">
        <v>398</v>
      </c>
      <c r="M688" s="83" t="s">
        <v>399</v>
      </c>
      <c r="N688" s="83" t="s">
        <v>2752</v>
      </c>
      <c r="O688" s="83" t="s">
        <v>106</v>
      </c>
      <c r="P688" s="83">
        <v>1</v>
      </c>
      <c r="Q688" s="83" t="s">
        <v>106</v>
      </c>
      <c r="R688" s="83" t="s">
        <v>3121</v>
      </c>
      <c r="S688" s="83" t="s">
        <v>2811</v>
      </c>
      <c r="T688" s="83" t="s">
        <v>2703</v>
      </c>
      <c r="U688" s="83" t="s">
        <v>401</v>
      </c>
      <c r="V688" s="97"/>
      <c r="W688" s="97"/>
      <c r="X688" s="97"/>
      <c r="Y688" s="97"/>
      <c r="Z688" s="97"/>
      <c r="AA688" s="97"/>
      <c r="AB688" s="97"/>
      <c r="AC688" s="83" t="s">
        <v>401</v>
      </c>
      <c r="AD688" s="83">
        <v>581000</v>
      </c>
      <c r="AE688" s="83"/>
      <c r="AF688" s="83">
        <v>0</v>
      </c>
      <c r="AG688" s="83"/>
      <c r="AH688" s="83"/>
      <c r="AI688" s="83"/>
      <c r="AJ688" s="83">
        <v>1</v>
      </c>
      <c r="AK688" s="83">
        <v>2</v>
      </c>
      <c r="AL688" s="83">
        <v>3132</v>
      </c>
      <c r="AM688" s="83" t="s">
        <v>2693</v>
      </c>
      <c r="AN688" s="83"/>
      <c r="AO688" s="83"/>
      <c r="AP688" s="83"/>
      <c r="AQ688" s="83"/>
      <c r="AR688" s="83"/>
      <c r="AS688" s="83"/>
      <c r="AT688" s="83"/>
      <c r="AU688" s="83"/>
      <c r="AV688" s="83"/>
      <c r="AW688" s="83"/>
      <c r="AX688" s="83"/>
      <c r="AY688" s="83"/>
      <c r="AZ688" s="83"/>
      <c r="BA688" s="83"/>
      <c r="BB688" s="83"/>
      <c r="BC688" s="83"/>
      <c r="BD688" s="83"/>
      <c r="BE688" s="83"/>
      <c r="BF688" s="83"/>
      <c r="BG688" s="83"/>
      <c r="BH688" s="83"/>
      <c r="BI688" s="83"/>
      <c r="BJ688" s="83"/>
      <c r="BK688" s="83" t="s">
        <v>2694</v>
      </c>
      <c r="BL688" s="83" t="s">
        <v>2698</v>
      </c>
      <c r="BM688" s="83" t="s">
        <v>2725</v>
      </c>
      <c r="BN688" s="83" t="s">
        <v>2696</v>
      </c>
      <c r="BO688" s="83" t="s">
        <v>2695</v>
      </c>
      <c r="BP688" s="83" t="s">
        <v>2698</v>
      </c>
      <c r="BQ688" s="83" t="s">
        <v>2696</v>
      </c>
      <c r="BR688" s="83" t="s">
        <v>2693</v>
      </c>
      <c r="BS688" s="83" t="s">
        <v>2699</v>
      </c>
      <c r="BT688" s="83" t="s">
        <v>2696</v>
      </c>
      <c r="BU688" s="83" t="s">
        <v>2699</v>
      </c>
      <c r="BV688" s="83" t="s">
        <v>2693</v>
      </c>
      <c r="BW688" s="83" t="s">
        <v>2699</v>
      </c>
      <c r="BX688" s="83" t="s">
        <v>2696</v>
      </c>
      <c r="BY688" s="83" t="s">
        <v>2696</v>
      </c>
      <c r="BZ688" s="83" t="s">
        <v>2693</v>
      </c>
      <c r="CA688" s="83" t="s">
        <v>2693</v>
      </c>
      <c r="CB688" s="83">
        <v>9</v>
      </c>
      <c r="CC688" s="83" t="s">
        <v>2696</v>
      </c>
      <c r="CD688" s="83" t="s">
        <v>2696</v>
      </c>
      <c r="CE688" s="83"/>
      <c r="CF688" s="83" t="s">
        <v>2005</v>
      </c>
      <c r="CG688" s="83" t="s">
        <v>2006</v>
      </c>
      <c r="CH688" s="83" t="s">
        <v>2699</v>
      </c>
      <c r="CI688" s="79">
        <v>1</v>
      </c>
      <c r="CJ688" s="83" t="s">
        <v>2734</v>
      </c>
      <c r="CK688" s="144">
        <v>0</v>
      </c>
      <c r="CL688"/>
    </row>
    <row r="689" spans="1:90" s="79" customFormat="1">
      <c r="A689" s="83" t="s">
        <v>1234</v>
      </c>
      <c r="B689" s="83" t="s">
        <v>701</v>
      </c>
      <c r="C689" s="83"/>
      <c r="D689" s="83" t="s">
        <v>714</v>
      </c>
      <c r="E689" s="83" t="s">
        <v>1287</v>
      </c>
      <c r="F689" s="83" t="s">
        <v>1343</v>
      </c>
      <c r="G689" s="83" t="s">
        <v>1344</v>
      </c>
      <c r="H689" s="83" t="s">
        <v>1201</v>
      </c>
      <c r="I689" s="83" t="s">
        <v>1202</v>
      </c>
      <c r="J689" s="83" t="s">
        <v>1203</v>
      </c>
      <c r="K689" s="83" t="s">
        <v>565</v>
      </c>
      <c r="L689" s="83" t="s">
        <v>398</v>
      </c>
      <c r="M689" s="83" t="s">
        <v>399</v>
      </c>
      <c r="N689" s="83" t="s">
        <v>2752</v>
      </c>
      <c r="O689" s="83" t="s">
        <v>106</v>
      </c>
      <c r="P689" s="83">
        <v>8</v>
      </c>
      <c r="Q689" s="83" t="s">
        <v>106</v>
      </c>
      <c r="R689" s="83" t="s">
        <v>3121</v>
      </c>
      <c r="S689" s="83" t="s">
        <v>1446</v>
      </c>
      <c r="T689" s="83" t="s">
        <v>2703</v>
      </c>
      <c r="U689" s="83" t="s">
        <v>401</v>
      </c>
      <c r="V689" s="97"/>
      <c r="W689" s="97"/>
      <c r="X689" s="97"/>
      <c r="Y689" s="97"/>
      <c r="Z689" s="97"/>
      <c r="AA689" s="97"/>
      <c r="AB689" s="97"/>
      <c r="AC689" s="83" t="s">
        <v>401</v>
      </c>
      <c r="AD689" s="83">
        <v>243000</v>
      </c>
      <c r="AE689" s="83"/>
      <c r="AF689" s="83">
        <v>0</v>
      </c>
      <c r="AG689" s="83"/>
      <c r="AH689" s="83"/>
      <c r="AI689" s="83"/>
      <c r="AJ689" s="83">
        <v>1</v>
      </c>
      <c r="AK689" s="83">
        <v>1</v>
      </c>
      <c r="AL689" s="83">
        <v>1386</v>
      </c>
      <c r="AM689" s="83" t="s">
        <v>2693</v>
      </c>
      <c r="AN689" s="83"/>
      <c r="AO689" s="83"/>
      <c r="AP689" s="83"/>
      <c r="AQ689" s="83"/>
      <c r="AR689" s="83"/>
      <c r="AS689" s="83"/>
      <c r="AT689" s="83"/>
      <c r="AU689" s="83"/>
      <c r="AV689" s="83"/>
      <c r="AW689" s="83"/>
      <c r="AX689" s="83"/>
      <c r="AY689" s="83"/>
      <c r="AZ689" s="83"/>
      <c r="BA689" s="83"/>
      <c r="BB689" s="83"/>
      <c r="BC689" s="83"/>
      <c r="BD689" s="83"/>
      <c r="BE689" s="83"/>
      <c r="BF689" s="83"/>
      <c r="BG689" s="83"/>
      <c r="BH689" s="83"/>
      <c r="BI689" s="83"/>
      <c r="BJ689" s="83"/>
      <c r="BK689" s="83" t="s">
        <v>2694</v>
      </c>
      <c r="BL689" s="83" t="s">
        <v>2693</v>
      </c>
      <c r="BM689" s="83" t="s">
        <v>2725</v>
      </c>
      <c r="BN689" s="83" t="s">
        <v>2698</v>
      </c>
      <c r="BO689" s="83" t="s">
        <v>2693</v>
      </c>
      <c r="BP689" s="83" t="s">
        <v>2695</v>
      </c>
      <c r="BQ689" s="83" t="s">
        <v>2696</v>
      </c>
      <c r="BR689" s="83" t="s">
        <v>2693</v>
      </c>
      <c r="BS689" s="83" t="s">
        <v>2699</v>
      </c>
      <c r="BT689" s="83" t="s">
        <v>2696</v>
      </c>
      <c r="BU689" s="83" t="s">
        <v>2699</v>
      </c>
      <c r="BV689" s="83" t="s">
        <v>2696</v>
      </c>
      <c r="BW689" s="83" t="s">
        <v>2699</v>
      </c>
      <c r="BX689" s="83" t="s">
        <v>2696</v>
      </c>
      <c r="BY689" s="83" t="s">
        <v>2699</v>
      </c>
      <c r="BZ689" s="83" t="s">
        <v>2693</v>
      </c>
      <c r="CA689" s="83" t="s">
        <v>2696</v>
      </c>
      <c r="CB689" s="83">
        <v>3</v>
      </c>
      <c r="CC689" s="83" t="s">
        <v>2696</v>
      </c>
      <c r="CD689" s="83" t="s">
        <v>2696</v>
      </c>
      <c r="CE689" s="83"/>
      <c r="CF689" s="83" t="s">
        <v>1383</v>
      </c>
      <c r="CG689" s="83" t="s">
        <v>1440</v>
      </c>
      <c r="CH689" s="83" t="s">
        <v>2695</v>
      </c>
      <c r="CI689" s="83" t="s">
        <v>648</v>
      </c>
      <c r="CJ689" s="83" t="s">
        <v>2726</v>
      </c>
      <c r="CK689" s="144">
        <v>0</v>
      </c>
      <c r="CL689"/>
    </row>
    <row r="690" spans="1:90" s="79" customFormat="1">
      <c r="A690" s="83" t="s">
        <v>1598</v>
      </c>
      <c r="B690" s="83" t="s">
        <v>1663</v>
      </c>
      <c r="C690" s="83"/>
      <c r="D690" s="83" t="s">
        <v>688</v>
      </c>
      <c r="E690" s="83" t="s">
        <v>1663</v>
      </c>
      <c r="F690" s="83" t="s">
        <v>2824</v>
      </c>
      <c r="G690" s="83" t="s">
        <v>1197</v>
      </c>
      <c r="H690" s="83" t="s">
        <v>1201</v>
      </c>
      <c r="I690" s="83" t="s">
        <v>1202</v>
      </c>
      <c r="J690" s="83" t="s">
        <v>1203</v>
      </c>
      <c r="K690" s="83" t="s">
        <v>565</v>
      </c>
      <c r="L690" s="83" t="s">
        <v>398</v>
      </c>
      <c r="M690" s="83" t="s">
        <v>399</v>
      </c>
      <c r="N690" s="83" t="s">
        <v>2752</v>
      </c>
      <c r="O690" s="83" t="s">
        <v>106</v>
      </c>
      <c r="P690" s="83">
        <v>4</v>
      </c>
      <c r="Q690" s="83" t="s">
        <v>106</v>
      </c>
      <c r="R690" s="83" t="s">
        <v>2730</v>
      </c>
      <c r="S690" s="83" t="s">
        <v>2809</v>
      </c>
      <c r="T690" s="83" t="s">
        <v>2741</v>
      </c>
      <c r="U690" s="83" t="s">
        <v>401</v>
      </c>
      <c r="V690" s="97"/>
      <c r="W690" s="97"/>
      <c r="X690" s="97"/>
      <c r="Y690" s="97"/>
      <c r="Z690" s="97"/>
      <c r="AA690" s="97"/>
      <c r="AB690" s="97"/>
      <c r="AC690" s="83" t="s">
        <v>401</v>
      </c>
      <c r="AD690" s="83">
        <v>2482000</v>
      </c>
      <c r="AE690" s="83"/>
      <c r="AF690" s="83">
        <v>0</v>
      </c>
      <c r="AG690" s="83"/>
      <c r="AH690" s="83"/>
      <c r="AI690" s="83"/>
      <c r="AJ690" s="83">
        <v>1</v>
      </c>
      <c r="AK690" s="83">
        <v>2</v>
      </c>
      <c r="AL690" s="83">
        <v>17211</v>
      </c>
      <c r="AM690" s="83" t="s">
        <v>2693</v>
      </c>
      <c r="AN690" s="83"/>
      <c r="AO690" s="83"/>
      <c r="AP690" s="83"/>
      <c r="AQ690" s="83"/>
      <c r="AR690" s="83"/>
      <c r="AS690" s="83"/>
      <c r="AT690" s="83"/>
      <c r="AU690" s="83"/>
      <c r="AV690" s="83"/>
      <c r="AW690" s="83"/>
      <c r="AX690" s="83"/>
      <c r="AY690" s="83"/>
      <c r="AZ690" s="83"/>
      <c r="BA690" s="83"/>
      <c r="BB690" s="83"/>
      <c r="BC690" s="83"/>
      <c r="BD690" s="83"/>
      <c r="BE690" s="83"/>
      <c r="BF690" s="83"/>
      <c r="BG690" s="83"/>
      <c r="BH690" s="83"/>
      <c r="BI690" s="83"/>
      <c r="BJ690" s="83"/>
      <c r="BK690" s="83" t="s">
        <v>2694</v>
      </c>
      <c r="BL690" s="83" t="s">
        <v>2725</v>
      </c>
      <c r="BM690" s="83" t="s">
        <v>2725</v>
      </c>
      <c r="BN690" s="83" t="s">
        <v>2697</v>
      </c>
      <c r="BO690" s="83" t="s">
        <v>2695</v>
      </c>
      <c r="BP690" s="83" t="s">
        <v>2695</v>
      </c>
      <c r="BQ690" s="83" t="s">
        <v>2693</v>
      </c>
      <c r="BR690" s="83" t="s">
        <v>2693</v>
      </c>
      <c r="BS690" s="83" t="s">
        <v>2693</v>
      </c>
      <c r="BT690" s="83">
        <v>0</v>
      </c>
      <c r="BU690" s="83" t="s">
        <v>2697</v>
      </c>
      <c r="BV690" s="83" t="s">
        <v>2693</v>
      </c>
      <c r="BW690" s="83" t="s">
        <v>2698</v>
      </c>
      <c r="BX690" s="83" t="s">
        <v>2696</v>
      </c>
      <c r="BY690" s="83" t="s">
        <v>2699</v>
      </c>
      <c r="BZ690" s="83" t="s">
        <v>2699</v>
      </c>
      <c r="CA690" s="83" t="s">
        <v>2693</v>
      </c>
      <c r="CB690" s="83" t="s">
        <v>2694</v>
      </c>
      <c r="CC690" s="83">
        <v>1</v>
      </c>
      <c r="CD690" s="83" t="s">
        <v>2696</v>
      </c>
      <c r="CE690" s="83"/>
      <c r="CF690" s="83" t="s">
        <v>2219</v>
      </c>
      <c r="CG690" s="83" t="s">
        <v>2220</v>
      </c>
      <c r="CH690" s="83" t="s">
        <v>2693</v>
      </c>
      <c r="CI690" s="83" t="s">
        <v>3992</v>
      </c>
      <c r="CJ690" s="83" t="s">
        <v>2701</v>
      </c>
      <c r="CK690" s="144">
        <v>0</v>
      </c>
      <c r="CL690"/>
    </row>
    <row r="691" spans="1:90" s="79" customFormat="1">
      <c r="A691" s="83" t="s">
        <v>3322</v>
      </c>
      <c r="B691" s="83" t="s">
        <v>998</v>
      </c>
      <c r="C691" s="83"/>
      <c r="D691" s="83" t="s">
        <v>688</v>
      </c>
      <c r="E691" s="83" t="s">
        <v>699</v>
      </c>
      <c r="F691" s="83" t="s">
        <v>3323</v>
      </c>
      <c r="G691" s="83" t="s">
        <v>2331</v>
      </c>
      <c r="H691" s="83" t="s">
        <v>1201</v>
      </c>
      <c r="I691" s="83" t="s">
        <v>1202</v>
      </c>
      <c r="J691" s="83" t="s">
        <v>1203</v>
      </c>
      <c r="K691" s="83" t="s">
        <v>565</v>
      </c>
      <c r="L691" s="83" t="s">
        <v>398</v>
      </c>
      <c r="M691" s="83" t="s">
        <v>399</v>
      </c>
      <c r="N691" s="83" t="s">
        <v>3277</v>
      </c>
      <c r="O691" s="83" t="s">
        <v>106</v>
      </c>
      <c r="P691" s="83">
        <v>8</v>
      </c>
      <c r="Q691" s="83" t="s">
        <v>106</v>
      </c>
      <c r="R691" s="83" t="s">
        <v>2730</v>
      </c>
      <c r="S691" s="83" t="s">
        <v>1468</v>
      </c>
      <c r="T691" s="83" t="s">
        <v>2843</v>
      </c>
      <c r="U691" s="83" t="s">
        <v>401</v>
      </c>
      <c r="V691" s="97"/>
      <c r="W691" s="97"/>
      <c r="X691" s="97"/>
      <c r="Y691" s="97"/>
      <c r="Z691" s="97"/>
      <c r="AA691" s="97"/>
      <c r="AB691" s="97"/>
      <c r="AC691" s="83" t="s">
        <v>401</v>
      </c>
      <c r="AD691" s="83">
        <v>2530000</v>
      </c>
      <c r="AE691" s="83"/>
      <c r="AF691" s="83">
        <v>1273000</v>
      </c>
      <c r="AG691" s="83"/>
      <c r="AH691" s="83"/>
      <c r="AI691" s="83"/>
      <c r="AJ691" s="83">
        <v>1</v>
      </c>
      <c r="AK691" s="83">
        <v>1</v>
      </c>
      <c r="AL691" s="83">
        <v>15020</v>
      </c>
      <c r="AM691" s="83" t="s">
        <v>2693</v>
      </c>
      <c r="AN691" s="83"/>
      <c r="AO691" s="83"/>
      <c r="AP691" s="83"/>
      <c r="AQ691" s="83"/>
      <c r="AR691" s="83"/>
      <c r="AS691" s="83"/>
      <c r="AT691" s="83"/>
      <c r="AU691" s="83"/>
      <c r="AV691" s="83"/>
      <c r="AW691" s="83"/>
      <c r="AX691" s="83"/>
      <c r="AY691" s="83"/>
      <c r="AZ691" s="83"/>
      <c r="BA691" s="83"/>
      <c r="BB691" s="83"/>
      <c r="BC691" s="83"/>
      <c r="BD691" s="83"/>
      <c r="BE691" s="83"/>
      <c r="BF691" s="83"/>
      <c r="BG691" s="83"/>
      <c r="BH691" s="83"/>
      <c r="BI691" s="83"/>
      <c r="BJ691" s="83"/>
      <c r="BK691" s="83" t="s">
        <v>2694</v>
      </c>
      <c r="BL691" s="83" t="s">
        <v>2695</v>
      </c>
      <c r="BM691" s="83" t="s">
        <v>2693</v>
      </c>
      <c r="BN691" s="83" t="s">
        <v>2698</v>
      </c>
      <c r="BO691" s="83" t="s">
        <v>2697</v>
      </c>
      <c r="BP691" s="83" t="s">
        <v>2697</v>
      </c>
      <c r="BQ691" s="83" t="s">
        <v>2699</v>
      </c>
      <c r="BR691" s="83" t="s">
        <v>2693</v>
      </c>
      <c r="BS691" s="83" t="s">
        <v>2699</v>
      </c>
      <c r="BT691" s="83" t="s">
        <v>2696</v>
      </c>
      <c r="BU691" s="83" t="s">
        <v>2699</v>
      </c>
      <c r="BV691" s="83" t="s">
        <v>2696</v>
      </c>
      <c r="BW691" s="83" t="s">
        <v>2698</v>
      </c>
      <c r="BX691" s="83" t="s">
        <v>2696</v>
      </c>
      <c r="BY691" s="83" t="s">
        <v>2699</v>
      </c>
      <c r="BZ691" s="83" t="s">
        <v>2693</v>
      </c>
      <c r="CA691" s="83" t="s">
        <v>2693</v>
      </c>
      <c r="CB691" s="83">
        <v>9</v>
      </c>
      <c r="CC691" s="83" t="s">
        <v>2699</v>
      </c>
      <c r="CD691" s="83" t="s">
        <v>2699</v>
      </c>
      <c r="CE691" s="83"/>
      <c r="CF691" s="83" t="s">
        <v>3324</v>
      </c>
      <c r="CG691" s="83" t="s">
        <v>3325</v>
      </c>
      <c r="CH691" s="83" t="s">
        <v>2695</v>
      </c>
      <c r="CI691" s="83" t="s">
        <v>648</v>
      </c>
      <c r="CJ691" s="83" t="s">
        <v>2780</v>
      </c>
      <c r="CK691" s="144">
        <v>3</v>
      </c>
      <c r="CL691" s="99">
        <v>25000</v>
      </c>
    </row>
    <row r="692" spans="1:90" s="79" customFormat="1">
      <c r="A692" s="83" t="s">
        <v>3246</v>
      </c>
      <c r="B692" s="83" t="s">
        <v>990</v>
      </c>
      <c r="C692" s="83"/>
      <c r="D692" s="83" t="s">
        <v>688</v>
      </c>
      <c r="E692" s="83" t="s">
        <v>699</v>
      </c>
      <c r="F692" s="83" t="s">
        <v>3247</v>
      </c>
      <c r="G692" s="83" t="s">
        <v>2318</v>
      </c>
      <c r="H692" s="83" t="s">
        <v>1201</v>
      </c>
      <c r="I692" s="83" t="s">
        <v>1202</v>
      </c>
      <c r="J692" s="83" t="s">
        <v>1203</v>
      </c>
      <c r="K692" s="83" t="s">
        <v>565</v>
      </c>
      <c r="L692" s="83" t="s">
        <v>398</v>
      </c>
      <c r="M692" s="83" t="s">
        <v>399</v>
      </c>
      <c r="N692" s="83" t="s">
        <v>3248</v>
      </c>
      <c r="O692" s="83" t="s">
        <v>106</v>
      </c>
      <c r="P692" s="83">
        <v>4</v>
      </c>
      <c r="Q692" s="83" t="s">
        <v>106</v>
      </c>
      <c r="R692" s="83" t="s">
        <v>2730</v>
      </c>
      <c r="S692" s="83" t="s">
        <v>1468</v>
      </c>
      <c r="T692" s="83" t="s">
        <v>2843</v>
      </c>
      <c r="U692" s="83" t="s">
        <v>401</v>
      </c>
      <c r="V692" s="97"/>
      <c r="W692" s="97"/>
      <c r="X692" s="97"/>
      <c r="Y692" s="97"/>
      <c r="Z692" s="97"/>
      <c r="AA692" s="97"/>
      <c r="AB692" s="97"/>
      <c r="AC692" s="83" t="s">
        <v>401</v>
      </c>
      <c r="AD692" s="83">
        <v>1104000</v>
      </c>
      <c r="AE692" s="83"/>
      <c r="AF692" s="83">
        <v>760000</v>
      </c>
      <c r="AG692" s="83"/>
      <c r="AH692" s="83"/>
      <c r="AI692" s="83"/>
      <c r="AJ692" s="83">
        <v>1</v>
      </c>
      <c r="AK692" s="83">
        <v>1</v>
      </c>
      <c r="AL692" s="83">
        <v>8962</v>
      </c>
      <c r="AM692" s="83" t="s">
        <v>2693</v>
      </c>
      <c r="AN692" s="83"/>
      <c r="AO692" s="83"/>
      <c r="AP692" s="83"/>
      <c r="AQ692" s="83"/>
      <c r="AR692" s="83"/>
      <c r="AS692" s="83"/>
      <c r="AT692" s="83"/>
      <c r="AU692" s="83"/>
      <c r="AV692" s="83"/>
      <c r="AW692" s="83"/>
      <c r="AX692" s="83"/>
      <c r="AY692" s="83"/>
      <c r="AZ692" s="83"/>
      <c r="BA692" s="83"/>
      <c r="BB692" s="83"/>
      <c r="BC692" s="83"/>
      <c r="BD692" s="83"/>
      <c r="BE692" s="83"/>
      <c r="BF692" s="83"/>
      <c r="BG692" s="83"/>
      <c r="BH692" s="83"/>
      <c r="BI692" s="83"/>
      <c r="BJ692" s="83"/>
      <c r="BK692" s="83" t="s">
        <v>2694</v>
      </c>
      <c r="BL692" s="83" t="s">
        <v>2697</v>
      </c>
      <c r="BM692" s="83" t="s">
        <v>2699</v>
      </c>
      <c r="BN692" s="83" t="s">
        <v>2698</v>
      </c>
      <c r="BO692" s="83" t="s">
        <v>2697</v>
      </c>
      <c r="BP692" s="83" t="s">
        <v>2697</v>
      </c>
      <c r="BQ692" s="83" t="s">
        <v>2699</v>
      </c>
      <c r="BR692" s="83" t="s">
        <v>2699</v>
      </c>
      <c r="BS692" s="83" t="s">
        <v>2699</v>
      </c>
      <c r="BT692" s="83" t="s">
        <v>2696</v>
      </c>
      <c r="BU692" s="83" t="s">
        <v>2699</v>
      </c>
      <c r="BV692" s="83" t="s">
        <v>2696</v>
      </c>
      <c r="BW692" s="83" t="s">
        <v>2698</v>
      </c>
      <c r="BX692" s="83" t="s">
        <v>2696</v>
      </c>
      <c r="BY692" s="83" t="s">
        <v>2699</v>
      </c>
      <c r="BZ692" s="83" t="s">
        <v>2693</v>
      </c>
      <c r="CA692" s="83" t="s">
        <v>2693</v>
      </c>
      <c r="CB692" s="83" t="s">
        <v>2694</v>
      </c>
      <c r="CC692" s="83" t="s">
        <v>2699</v>
      </c>
      <c r="CD692" s="83" t="s">
        <v>2696</v>
      </c>
      <c r="CE692" s="83"/>
      <c r="CF692" s="83" t="s">
        <v>3249</v>
      </c>
      <c r="CG692" s="83" t="s">
        <v>3250</v>
      </c>
      <c r="CH692" s="83" t="s">
        <v>2693</v>
      </c>
      <c r="CI692" s="83" t="s">
        <v>3992</v>
      </c>
      <c r="CJ692" s="83" t="s">
        <v>2701</v>
      </c>
      <c r="CK692" s="144">
        <v>0</v>
      </c>
      <c r="CL692" s="99">
        <v>26000</v>
      </c>
    </row>
    <row r="693" spans="1:90" s="79" customFormat="1">
      <c r="A693" s="83" t="s">
        <v>3168</v>
      </c>
      <c r="B693" s="83" t="s">
        <v>975</v>
      </c>
      <c r="C693" s="83"/>
      <c r="D693" s="83" t="s">
        <v>688</v>
      </c>
      <c r="E693" s="83" t="s">
        <v>699</v>
      </c>
      <c r="F693" s="83" t="s">
        <v>3169</v>
      </c>
      <c r="G693" s="83" t="s">
        <v>1186</v>
      </c>
      <c r="H693" s="83" t="s">
        <v>1201</v>
      </c>
      <c r="I693" s="83" t="s">
        <v>1202</v>
      </c>
      <c r="J693" s="83" t="s">
        <v>1203</v>
      </c>
      <c r="K693" s="83" t="s">
        <v>565</v>
      </c>
      <c r="L693" s="83" t="s">
        <v>398</v>
      </c>
      <c r="M693" s="83" t="s">
        <v>399</v>
      </c>
      <c r="N693" s="83" t="s">
        <v>3152</v>
      </c>
      <c r="O693" s="83" t="s">
        <v>106</v>
      </c>
      <c r="P693" s="83">
        <v>8</v>
      </c>
      <c r="Q693" s="83" t="s">
        <v>106</v>
      </c>
      <c r="R693" s="83" t="s">
        <v>2730</v>
      </c>
      <c r="S693" s="83" t="s">
        <v>1468</v>
      </c>
      <c r="T693" s="83" t="s">
        <v>2843</v>
      </c>
      <c r="U693" s="83" t="s">
        <v>401</v>
      </c>
      <c r="V693" s="97"/>
      <c r="W693" s="97"/>
      <c r="X693" s="97"/>
      <c r="Y693" s="97"/>
      <c r="Z693" s="97"/>
      <c r="AA693" s="97"/>
      <c r="AB693" s="97"/>
      <c r="AC693" s="83" t="s">
        <v>401</v>
      </c>
      <c r="AD693" s="83">
        <v>3931000</v>
      </c>
      <c r="AE693" s="83"/>
      <c r="AF693" s="83">
        <v>2164000</v>
      </c>
      <c r="AG693" s="83"/>
      <c r="AH693" s="83"/>
      <c r="AI693" s="83"/>
      <c r="AJ693" s="83">
        <v>1</v>
      </c>
      <c r="AK693" s="83">
        <v>1</v>
      </c>
      <c r="AL693" s="83">
        <v>25523</v>
      </c>
      <c r="AM693" s="83" t="s">
        <v>2693</v>
      </c>
      <c r="AN693" s="83"/>
      <c r="AO693" s="83"/>
      <c r="AP693" s="83"/>
      <c r="AQ693" s="83"/>
      <c r="AR693" s="83"/>
      <c r="AS693" s="83"/>
      <c r="AT693" s="83"/>
      <c r="AU693" s="83"/>
      <c r="AV693" s="83"/>
      <c r="AW693" s="83"/>
      <c r="AX693" s="83"/>
      <c r="AY693" s="83"/>
      <c r="AZ693" s="83"/>
      <c r="BA693" s="83"/>
      <c r="BB693" s="83"/>
      <c r="BC693" s="83"/>
      <c r="BD693" s="83"/>
      <c r="BE693" s="83"/>
      <c r="BF693" s="83"/>
      <c r="BG693" s="83"/>
      <c r="BH693" s="83"/>
      <c r="BI693" s="83"/>
      <c r="BJ693" s="83"/>
      <c r="BK693" s="83" t="s">
        <v>2694</v>
      </c>
      <c r="BL693" s="83" t="s">
        <v>2697</v>
      </c>
      <c r="BM693" s="83" t="s">
        <v>2699</v>
      </c>
      <c r="BN693" s="83" t="s">
        <v>2698</v>
      </c>
      <c r="BO693" s="83" t="s">
        <v>2697</v>
      </c>
      <c r="BP693" s="83" t="s">
        <v>2697</v>
      </c>
      <c r="BQ693" s="83" t="s">
        <v>2699</v>
      </c>
      <c r="BR693" s="83" t="s">
        <v>2699</v>
      </c>
      <c r="BS693" s="83" t="s">
        <v>2699</v>
      </c>
      <c r="BT693" s="83" t="s">
        <v>2696</v>
      </c>
      <c r="BU693" s="83" t="s">
        <v>2699</v>
      </c>
      <c r="BV693" s="83" t="s">
        <v>2696</v>
      </c>
      <c r="BW693" s="83" t="s">
        <v>2698</v>
      </c>
      <c r="BX693" s="83" t="s">
        <v>2696</v>
      </c>
      <c r="BY693" s="83" t="s">
        <v>2699</v>
      </c>
      <c r="BZ693" s="83" t="s">
        <v>2693</v>
      </c>
      <c r="CA693" s="83" t="s">
        <v>2693</v>
      </c>
      <c r="CB693" s="83" t="s">
        <v>2694</v>
      </c>
      <c r="CC693" s="83" t="s">
        <v>2699</v>
      </c>
      <c r="CD693" s="83" t="s">
        <v>2699</v>
      </c>
      <c r="CE693" s="83"/>
      <c r="CF693" s="83" t="s">
        <v>3170</v>
      </c>
      <c r="CG693" s="83" t="s">
        <v>3171</v>
      </c>
      <c r="CH693" s="83" t="s">
        <v>2695</v>
      </c>
      <c r="CI693" s="83" t="s">
        <v>648</v>
      </c>
      <c r="CJ693" s="83" t="s">
        <v>2726</v>
      </c>
      <c r="CK693" s="144">
        <v>0</v>
      </c>
      <c r="CL693" s="99">
        <v>104000</v>
      </c>
    </row>
    <row r="694" spans="1:90" s="79" customFormat="1" ht="15.75" customHeight="1">
      <c r="A694" s="79" t="s">
        <v>3787</v>
      </c>
      <c r="B694" s="79" t="s">
        <v>4137</v>
      </c>
      <c r="D694" s="79" t="s">
        <v>688</v>
      </c>
      <c r="E694" s="79" t="s">
        <v>699</v>
      </c>
      <c r="F694" s="79">
        <v>1425</v>
      </c>
      <c r="G694" s="80" t="s">
        <v>4138</v>
      </c>
      <c r="H694" s="79" t="s">
        <v>1201</v>
      </c>
      <c r="I694" s="79" t="s">
        <v>1202</v>
      </c>
      <c r="J694" s="79" t="s">
        <v>1203</v>
      </c>
      <c r="K694" s="79" t="s">
        <v>565</v>
      </c>
      <c r="L694" s="79" t="s">
        <v>398</v>
      </c>
      <c r="M694" s="79" t="s">
        <v>399</v>
      </c>
      <c r="N694" s="79">
        <v>32221</v>
      </c>
      <c r="O694" s="79" t="s">
        <v>106</v>
      </c>
      <c r="P694" s="79">
        <v>8</v>
      </c>
      <c r="Q694" s="79" t="s">
        <v>106</v>
      </c>
      <c r="R694" s="79">
        <v>8</v>
      </c>
      <c r="S694" s="90">
        <v>38717</v>
      </c>
      <c r="T694" s="79" t="s">
        <v>2703</v>
      </c>
      <c r="U694" s="79" t="s">
        <v>401</v>
      </c>
      <c r="V694" s="97"/>
      <c r="W694" s="97"/>
      <c r="X694" s="97"/>
      <c r="Y694" s="97"/>
      <c r="Z694" s="97"/>
      <c r="AA694" s="97"/>
      <c r="AB694" s="97"/>
      <c r="AC694" s="79" t="s">
        <v>401</v>
      </c>
      <c r="AD694" s="79">
        <v>5821000</v>
      </c>
      <c r="AF694" s="79">
        <v>3047000</v>
      </c>
      <c r="AJ694" s="79">
        <v>1</v>
      </c>
      <c r="AK694" s="79">
        <v>1</v>
      </c>
      <c r="AL694" s="79">
        <v>47916</v>
      </c>
      <c r="AM694" s="79" t="s">
        <v>2693</v>
      </c>
      <c r="BK694" s="79">
        <v>9</v>
      </c>
      <c r="BL694" s="79">
        <v>3</v>
      </c>
      <c r="BM694" s="79">
        <v>1</v>
      </c>
      <c r="BN694" s="79">
        <v>5</v>
      </c>
      <c r="BO694" s="79">
        <v>2</v>
      </c>
      <c r="BP694" s="79">
        <v>3</v>
      </c>
      <c r="BQ694" s="79">
        <v>1</v>
      </c>
      <c r="BR694" s="79">
        <v>1</v>
      </c>
      <c r="BS694" s="79">
        <v>1</v>
      </c>
      <c r="BT694" s="79">
        <v>0</v>
      </c>
      <c r="BU694" s="79">
        <v>1</v>
      </c>
      <c r="BV694" s="79">
        <v>0</v>
      </c>
      <c r="BW694" s="79">
        <v>5</v>
      </c>
      <c r="BX694" s="79">
        <v>0</v>
      </c>
      <c r="BY694" s="79">
        <v>1</v>
      </c>
      <c r="BZ694" s="79">
        <v>0</v>
      </c>
      <c r="CA694" s="79">
        <v>1</v>
      </c>
      <c r="CB694" s="79">
        <v>9</v>
      </c>
      <c r="CC694" s="79">
        <v>2</v>
      </c>
      <c r="CD694" s="79">
        <v>1</v>
      </c>
      <c r="CF694" s="81" t="s">
        <v>4139</v>
      </c>
      <c r="CG694" s="81" t="s">
        <v>4140</v>
      </c>
      <c r="CH694" s="79" t="s">
        <v>2695</v>
      </c>
      <c r="CI694" s="79" t="s">
        <v>648</v>
      </c>
      <c r="CJ694" s="79" t="s">
        <v>2726</v>
      </c>
      <c r="CK694" s="145">
        <v>0</v>
      </c>
      <c r="CL694" s="99">
        <v>71000</v>
      </c>
    </row>
    <row r="695" spans="1:90" s="79" customFormat="1">
      <c r="A695" s="83" t="s">
        <v>1235</v>
      </c>
      <c r="B695" s="83" t="s">
        <v>680</v>
      </c>
      <c r="C695" s="83"/>
      <c r="D695" s="83" t="s">
        <v>688</v>
      </c>
      <c r="E695" s="83" t="s">
        <v>680</v>
      </c>
      <c r="F695" s="83" t="s">
        <v>1345</v>
      </c>
      <c r="G695" s="83" t="s">
        <v>1197</v>
      </c>
      <c r="H695" s="83" t="s">
        <v>1201</v>
      </c>
      <c r="I695" s="83" t="s">
        <v>1202</v>
      </c>
      <c r="J695" s="83" t="s">
        <v>1203</v>
      </c>
      <c r="K695" s="83" t="s">
        <v>565</v>
      </c>
      <c r="L695" s="83" t="s">
        <v>398</v>
      </c>
      <c r="M695" s="83" t="s">
        <v>399</v>
      </c>
      <c r="N695" s="83" t="s">
        <v>2752</v>
      </c>
      <c r="O695" s="83" t="s">
        <v>106</v>
      </c>
      <c r="P695" s="83">
        <v>7</v>
      </c>
      <c r="Q695" s="83" t="s">
        <v>106</v>
      </c>
      <c r="R695" s="83" t="s">
        <v>2730</v>
      </c>
      <c r="S695" s="83" t="s">
        <v>1468</v>
      </c>
      <c r="T695" s="83" t="s">
        <v>2703</v>
      </c>
      <c r="U695" s="83" t="s">
        <v>401</v>
      </c>
      <c r="V695" s="97"/>
      <c r="W695" s="97"/>
      <c r="X695" s="97"/>
      <c r="Y695" s="97"/>
      <c r="Z695" s="97"/>
      <c r="AA695" s="97"/>
      <c r="AB695" s="97"/>
      <c r="AC695" s="83" t="s">
        <v>401</v>
      </c>
      <c r="AD695" s="83">
        <v>107035000</v>
      </c>
      <c r="AE695" s="83"/>
      <c r="AF695" s="83">
        <v>27993000</v>
      </c>
      <c r="AG695" s="83"/>
      <c r="AH695" s="83"/>
      <c r="AI695" s="83"/>
      <c r="AJ695" s="83">
        <v>1</v>
      </c>
      <c r="AK695" s="83">
        <v>5</v>
      </c>
      <c r="AL695" s="83">
        <v>330182</v>
      </c>
      <c r="AM695" s="83" t="s">
        <v>2693</v>
      </c>
      <c r="AN695" s="83"/>
      <c r="AO695" s="83"/>
      <c r="AP695" s="83"/>
      <c r="AQ695" s="83"/>
      <c r="AR695" s="83"/>
      <c r="AS695" s="83"/>
      <c r="AT695" s="83"/>
      <c r="AU695" s="83"/>
      <c r="AV695" s="83"/>
      <c r="AW695" s="83"/>
      <c r="AX695" s="83"/>
      <c r="AY695" s="83"/>
      <c r="AZ695" s="83"/>
      <c r="BA695" s="83"/>
      <c r="BB695" s="83"/>
      <c r="BC695" s="83"/>
      <c r="BD695" s="83"/>
      <c r="BE695" s="83"/>
      <c r="BF695" s="83"/>
      <c r="BG695" s="83"/>
      <c r="BH695" s="83"/>
      <c r="BI695" s="83"/>
      <c r="BJ695" s="83"/>
      <c r="BK695" s="83" t="s">
        <v>2694</v>
      </c>
      <c r="BL695" s="83" t="s">
        <v>2695</v>
      </c>
      <c r="BM695" s="83" t="s">
        <v>2693</v>
      </c>
      <c r="BN695" s="83" t="s">
        <v>2698</v>
      </c>
      <c r="BO695" s="83" t="s">
        <v>2697</v>
      </c>
      <c r="BP695" s="83" t="s">
        <v>2697</v>
      </c>
      <c r="BQ695" s="83" t="s">
        <v>2699</v>
      </c>
      <c r="BR695" s="83" t="s">
        <v>2693</v>
      </c>
      <c r="BS695" s="83" t="s">
        <v>2699</v>
      </c>
      <c r="BT695" s="83" t="s">
        <v>2696</v>
      </c>
      <c r="BU695" s="83" t="s">
        <v>2699</v>
      </c>
      <c r="BV695" s="83" t="s">
        <v>2693</v>
      </c>
      <c r="BW695" s="83" t="s">
        <v>2695</v>
      </c>
      <c r="BX695" s="83" t="s">
        <v>2696</v>
      </c>
      <c r="BY695" s="83" t="s">
        <v>2699</v>
      </c>
      <c r="BZ695" s="83" t="s">
        <v>2693</v>
      </c>
      <c r="CA695" s="83" t="s">
        <v>2693</v>
      </c>
      <c r="CB695" s="83">
        <v>3</v>
      </c>
      <c r="CC695" s="83" t="s">
        <v>2696</v>
      </c>
      <c r="CD695" s="83" t="s">
        <v>2699</v>
      </c>
      <c r="CE695" s="83"/>
      <c r="CF695" s="83" t="s">
        <v>1385</v>
      </c>
      <c r="CG695" s="83" t="s">
        <v>1441</v>
      </c>
      <c r="CH695" s="83" t="s">
        <v>2698</v>
      </c>
      <c r="CI695" s="83" t="s">
        <v>2009</v>
      </c>
      <c r="CJ695" s="83">
        <v>135</v>
      </c>
      <c r="CK695" s="144">
        <v>0</v>
      </c>
      <c r="CL695"/>
    </row>
    <row r="696" spans="1:90" s="79" customFormat="1">
      <c r="A696" s="83" t="s">
        <v>1599</v>
      </c>
      <c r="B696" s="83" t="s">
        <v>1664</v>
      </c>
      <c r="C696" s="83"/>
      <c r="D696" s="83" t="s">
        <v>688</v>
      </c>
      <c r="E696" s="83" t="s">
        <v>1679</v>
      </c>
      <c r="F696" s="83" t="s">
        <v>2825</v>
      </c>
      <c r="G696" s="83" t="s">
        <v>1163</v>
      </c>
      <c r="H696" s="83" t="s">
        <v>1201</v>
      </c>
      <c r="I696" s="83" t="s">
        <v>1202</v>
      </c>
      <c r="J696" s="83" t="s">
        <v>1203</v>
      </c>
      <c r="K696" s="83" t="s">
        <v>565</v>
      </c>
      <c r="L696" s="83" t="s">
        <v>398</v>
      </c>
      <c r="M696" s="83" t="s">
        <v>399</v>
      </c>
      <c r="N696" s="83" t="s">
        <v>2752</v>
      </c>
      <c r="O696" s="83" t="s">
        <v>106</v>
      </c>
      <c r="P696" s="83">
        <v>7</v>
      </c>
      <c r="Q696" s="83" t="s">
        <v>106</v>
      </c>
      <c r="R696" s="83" t="s">
        <v>2753</v>
      </c>
      <c r="S696" s="83" t="s">
        <v>2826</v>
      </c>
      <c r="T696" s="83" t="s">
        <v>2712</v>
      </c>
      <c r="U696" s="83" t="s">
        <v>401</v>
      </c>
      <c r="V696" s="97"/>
      <c r="W696" s="97"/>
      <c r="X696" s="97"/>
      <c r="Y696" s="97"/>
      <c r="Z696" s="97"/>
      <c r="AA696" s="97"/>
      <c r="AB696" s="97"/>
      <c r="AC696" s="83" t="s">
        <v>401</v>
      </c>
      <c r="AD696" s="83">
        <v>7797000</v>
      </c>
      <c r="AE696" s="83"/>
      <c r="AF696" s="83">
        <v>1163000</v>
      </c>
      <c r="AG696" s="83"/>
      <c r="AH696" s="83"/>
      <c r="AI696" s="83"/>
      <c r="AJ696" s="83">
        <v>1</v>
      </c>
      <c r="AK696" s="83">
        <v>2</v>
      </c>
      <c r="AL696" s="83">
        <v>56160</v>
      </c>
      <c r="AM696" s="83" t="s">
        <v>2693</v>
      </c>
      <c r="AN696" s="83"/>
      <c r="AO696" s="83"/>
      <c r="AP696" s="83"/>
      <c r="AQ696" s="83"/>
      <c r="AR696" s="83"/>
      <c r="AS696" s="83"/>
      <c r="AT696" s="83"/>
      <c r="AU696" s="83"/>
      <c r="AV696" s="83"/>
      <c r="AW696" s="83"/>
      <c r="AX696" s="83"/>
      <c r="AY696" s="83"/>
      <c r="AZ696" s="83"/>
      <c r="BA696" s="83"/>
      <c r="BB696" s="83"/>
      <c r="BC696" s="83"/>
      <c r="BD696" s="83"/>
      <c r="BE696" s="83"/>
      <c r="BF696" s="83"/>
      <c r="BG696" s="83"/>
      <c r="BH696" s="83"/>
      <c r="BI696" s="83"/>
      <c r="BJ696" s="83"/>
      <c r="BK696" s="83" t="s">
        <v>2694</v>
      </c>
      <c r="BL696" s="83" t="s">
        <v>2697</v>
      </c>
      <c r="BM696" s="83" t="s">
        <v>2699</v>
      </c>
      <c r="BN696" s="83" t="s">
        <v>2698</v>
      </c>
      <c r="BO696" s="83" t="s">
        <v>2697</v>
      </c>
      <c r="BP696" s="83" t="s">
        <v>2697</v>
      </c>
      <c r="BQ696" s="83" t="s">
        <v>2699</v>
      </c>
      <c r="BR696" s="83" t="s">
        <v>2699</v>
      </c>
      <c r="BS696" s="83" t="s">
        <v>2699</v>
      </c>
      <c r="BT696" s="83">
        <v>0</v>
      </c>
      <c r="BU696" s="83" t="s">
        <v>2699</v>
      </c>
      <c r="BV696" s="83" t="s">
        <v>2696</v>
      </c>
      <c r="BW696" s="83" t="s">
        <v>2699</v>
      </c>
      <c r="BX696" s="83" t="s">
        <v>2696</v>
      </c>
      <c r="BY696" s="83" t="s">
        <v>2699</v>
      </c>
      <c r="BZ696" s="83" t="s">
        <v>2693</v>
      </c>
      <c r="CA696" s="83" t="s">
        <v>2693</v>
      </c>
      <c r="CB696" s="83" t="s">
        <v>2730</v>
      </c>
      <c r="CC696" s="83" t="s">
        <v>2699</v>
      </c>
      <c r="CD696" s="83" t="s">
        <v>2699</v>
      </c>
      <c r="CE696" s="83"/>
      <c r="CF696" s="83" t="s">
        <v>2210</v>
      </c>
      <c r="CG696" s="83" t="s">
        <v>2211</v>
      </c>
      <c r="CH696" s="83" t="s">
        <v>2698</v>
      </c>
      <c r="CI696" s="83" t="s">
        <v>2212</v>
      </c>
      <c r="CJ696" s="83" t="s">
        <v>2801</v>
      </c>
      <c r="CK696" s="144">
        <v>0</v>
      </c>
      <c r="CL696" s="99">
        <v>15000</v>
      </c>
    </row>
    <row r="697" spans="1:90" s="79" customFormat="1">
      <c r="A697" s="83" t="s">
        <v>2853</v>
      </c>
      <c r="B697" s="83" t="s">
        <v>2854</v>
      </c>
      <c r="C697" s="83"/>
      <c r="D697" s="83" t="s">
        <v>688</v>
      </c>
      <c r="E697" s="83" t="s">
        <v>2476</v>
      </c>
      <c r="F697" s="83" t="s">
        <v>2693</v>
      </c>
      <c r="G697" s="83" t="s">
        <v>2262</v>
      </c>
      <c r="H697" s="83" t="s">
        <v>1201</v>
      </c>
      <c r="I697" s="83" t="s">
        <v>1202</v>
      </c>
      <c r="J697" s="83" t="s">
        <v>1203</v>
      </c>
      <c r="K697" s="83" t="s">
        <v>565</v>
      </c>
      <c r="L697" s="83" t="s">
        <v>398</v>
      </c>
      <c r="M697" s="83" t="s">
        <v>399</v>
      </c>
      <c r="N697" s="83" t="s">
        <v>2752</v>
      </c>
      <c r="O697" s="83" t="s">
        <v>106</v>
      </c>
      <c r="P697" s="83">
        <v>5</v>
      </c>
      <c r="Q697" s="83" t="s">
        <v>106</v>
      </c>
      <c r="R697" s="83" t="s">
        <v>2808</v>
      </c>
      <c r="S697" s="83" t="s">
        <v>1465</v>
      </c>
      <c r="T697" s="83" t="s">
        <v>2843</v>
      </c>
      <c r="U697" s="83" t="s">
        <v>401</v>
      </c>
      <c r="V697" s="97"/>
      <c r="W697" s="97"/>
      <c r="X697" s="97"/>
      <c r="Y697" s="97"/>
      <c r="Z697" s="97"/>
      <c r="AA697" s="97"/>
      <c r="AB697" s="97"/>
      <c r="AC697" s="83" t="s">
        <v>401</v>
      </c>
      <c r="AD697" s="83">
        <v>4196000</v>
      </c>
      <c r="AE697" s="83"/>
      <c r="AF697" s="83">
        <v>610000</v>
      </c>
      <c r="AG697" s="83"/>
      <c r="AH697" s="83"/>
      <c r="AI697" s="83"/>
      <c r="AJ697" s="83">
        <v>1</v>
      </c>
      <c r="AK697" s="83">
        <v>7</v>
      </c>
      <c r="AL697" s="83">
        <v>87465</v>
      </c>
      <c r="AM697" s="83" t="s">
        <v>2693</v>
      </c>
      <c r="AN697" s="83"/>
      <c r="AO697" s="83"/>
      <c r="AP697" s="83"/>
      <c r="AQ697" s="83"/>
      <c r="AR697" s="83"/>
      <c r="AS697" s="83"/>
      <c r="AT697" s="83"/>
      <c r="AU697" s="83"/>
      <c r="AV697" s="83"/>
      <c r="AW697" s="83"/>
      <c r="AX697" s="83"/>
      <c r="AY697" s="83"/>
      <c r="AZ697" s="83"/>
      <c r="BA697" s="83"/>
      <c r="BB697" s="83"/>
      <c r="BC697" s="83"/>
      <c r="BD697" s="83"/>
      <c r="BE697" s="83"/>
      <c r="BF697" s="83"/>
      <c r="BG697" s="83"/>
      <c r="BH697" s="83"/>
      <c r="BI697" s="83"/>
      <c r="BJ697" s="83"/>
      <c r="BK697" s="83" t="s">
        <v>2694</v>
      </c>
      <c r="BL697" s="83" t="s">
        <v>2698</v>
      </c>
      <c r="BM697" s="83" t="s">
        <v>2693</v>
      </c>
      <c r="BN697" s="83" t="s">
        <v>2698</v>
      </c>
      <c r="BO697" s="83" t="s">
        <v>2697</v>
      </c>
      <c r="BP697" s="83" t="s">
        <v>2699</v>
      </c>
      <c r="BQ697" s="83" t="s">
        <v>2699</v>
      </c>
      <c r="BR697" s="83" t="s">
        <v>2693</v>
      </c>
      <c r="BS697" s="83" t="s">
        <v>2699</v>
      </c>
      <c r="BT697" s="83" t="s">
        <v>2696</v>
      </c>
      <c r="BU697" s="83" t="s">
        <v>2699</v>
      </c>
      <c r="BV697" s="83" t="s">
        <v>2696</v>
      </c>
      <c r="BW697" s="83" t="s">
        <v>2698</v>
      </c>
      <c r="BX697" s="83" t="s">
        <v>2696</v>
      </c>
      <c r="BY697" s="83" t="s">
        <v>2699</v>
      </c>
      <c r="BZ697" s="83" t="s">
        <v>2693</v>
      </c>
      <c r="CA697" s="83" t="s">
        <v>2693</v>
      </c>
      <c r="CB697" s="83" t="s">
        <v>2694</v>
      </c>
      <c r="CC697" s="83" t="s">
        <v>2699</v>
      </c>
      <c r="CD697" s="83" t="s">
        <v>2696</v>
      </c>
      <c r="CE697" s="83"/>
      <c r="CF697" s="83" t="s">
        <v>2855</v>
      </c>
      <c r="CG697" s="83" t="s">
        <v>2856</v>
      </c>
      <c r="CH697" s="83" t="s">
        <v>2725</v>
      </c>
      <c r="CI697" s="83" t="s">
        <v>1358</v>
      </c>
      <c r="CJ697" s="83" t="s">
        <v>2780</v>
      </c>
      <c r="CK697" s="144">
        <v>1</v>
      </c>
      <c r="CL697" s="99">
        <v>5000</v>
      </c>
    </row>
    <row r="698" spans="1:90" s="79" customFormat="1">
      <c r="A698" s="83" t="s">
        <v>3191</v>
      </c>
      <c r="B698" s="83" t="s">
        <v>2666</v>
      </c>
      <c r="C698" s="83"/>
      <c r="D698" s="83" t="s">
        <v>688</v>
      </c>
      <c r="E698" s="83" t="s">
        <v>2667</v>
      </c>
      <c r="F698" s="83" t="s">
        <v>3192</v>
      </c>
      <c r="G698" s="83" t="s">
        <v>2307</v>
      </c>
      <c r="H698" s="83" t="s">
        <v>1201</v>
      </c>
      <c r="I698" s="83" t="s">
        <v>1202</v>
      </c>
      <c r="J698" s="83" t="s">
        <v>1203</v>
      </c>
      <c r="K698" s="83" t="s">
        <v>565</v>
      </c>
      <c r="L698" s="83" t="s">
        <v>398</v>
      </c>
      <c r="M698" s="83" t="s">
        <v>399</v>
      </c>
      <c r="N698" s="83" t="s">
        <v>2833</v>
      </c>
      <c r="O698" s="83" t="s">
        <v>106</v>
      </c>
      <c r="P698" s="83">
        <v>4</v>
      </c>
      <c r="Q698" s="83" t="s">
        <v>106</v>
      </c>
      <c r="R698" s="83" t="s">
        <v>2730</v>
      </c>
      <c r="S698" s="83" t="s">
        <v>1458</v>
      </c>
      <c r="T698" s="83" t="s">
        <v>2843</v>
      </c>
      <c r="U698" s="83" t="s">
        <v>401</v>
      </c>
      <c r="V698" s="97"/>
      <c r="W698" s="97"/>
      <c r="X698" s="97"/>
      <c r="Y698" s="97"/>
      <c r="Z698" s="97"/>
      <c r="AA698" s="97"/>
      <c r="AB698" s="97"/>
      <c r="AC698" s="83" t="s">
        <v>401</v>
      </c>
      <c r="AD698" s="83">
        <v>2233000</v>
      </c>
      <c r="AE698" s="83"/>
      <c r="AF698" s="83">
        <v>480000</v>
      </c>
      <c r="AG698" s="83"/>
      <c r="AH698" s="83"/>
      <c r="AI698" s="83"/>
      <c r="AJ698" s="83">
        <v>1</v>
      </c>
      <c r="AK698" s="83">
        <v>1</v>
      </c>
      <c r="AL698" s="83">
        <v>23185</v>
      </c>
      <c r="AM698" s="83" t="s">
        <v>2693</v>
      </c>
      <c r="AN698" s="83"/>
      <c r="AO698" s="83"/>
      <c r="AP698" s="83"/>
      <c r="AQ698" s="83"/>
      <c r="AR698" s="83"/>
      <c r="AS698" s="83"/>
      <c r="AT698" s="83"/>
      <c r="AU698" s="83"/>
      <c r="AV698" s="83"/>
      <c r="AW698" s="83"/>
      <c r="AX698" s="83"/>
      <c r="AY698" s="83"/>
      <c r="AZ698" s="83"/>
      <c r="BA698" s="83"/>
      <c r="BB698" s="83"/>
      <c r="BC698" s="83"/>
      <c r="BD698" s="83"/>
      <c r="BE698" s="83"/>
      <c r="BF698" s="83"/>
      <c r="BG698" s="83"/>
      <c r="BH698" s="83"/>
      <c r="BI698" s="83"/>
      <c r="BJ698" s="83"/>
      <c r="BK698" s="83" t="s">
        <v>2694</v>
      </c>
      <c r="BL698" s="83" t="s">
        <v>2697</v>
      </c>
      <c r="BM698" s="83" t="s">
        <v>2699</v>
      </c>
      <c r="BN698" s="83" t="s">
        <v>2698</v>
      </c>
      <c r="BO698" s="83" t="s">
        <v>2697</v>
      </c>
      <c r="BP698" s="83" t="s">
        <v>2698</v>
      </c>
      <c r="BQ698" s="83" t="s">
        <v>2699</v>
      </c>
      <c r="BR698" s="83" t="s">
        <v>2699</v>
      </c>
      <c r="BS698" s="83" t="s">
        <v>2699</v>
      </c>
      <c r="BT698" s="83" t="s">
        <v>2696</v>
      </c>
      <c r="BU698" s="83" t="s">
        <v>2699</v>
      </c>
      <c r="BV698" s="83" t="s">
        <v>2696</v>
      </c>
      <c r="BW698" s="83" t="s">
        <v>2698</v>
      </c>
      <c r="BX698" s="83" t="s">
        <v>2696</v>
      </c>
      <c r="BY698" s="83" t="s">
        <v>2699</v>
      </c>
      <c r="BZ698" s="83" t="s">
        <v>2693</v>
      </c>
      <c r="CA698" s="83" t="s">
        <v>2693</v>
      </c>
      <c r="CB698" s="83" t="s">
        <v>2694</v>
      </c>
      <c r="CC698" s="83" t="s">
        <v>2699</v>
      </c>
      <c r="CD698" s="83" t="s">
        <v>2696</v>
      </c>
      <c r="CE698" s="83"/>
      <c r="CF698" s="83" t="s">
        <v>1939</v>
      </c>
      <c r="CG698" s="83" t="s">
        <v>3193</v>
      </c>
      <c r="CH698" s="83" t="s">
        <v>2693</v>
      </c>
      <c r="CI698" s="83" t="s">
        <v>3992</v>
      </c>
      <c r="CJ698" s="83" t="s">
        <v>2701</v>
      </c>
      <c r="CK698" s="144">
        <v>0</v>
      </c>
      <c r="CL698" s="99">
        <v>68000</v>
      </c>
    </row>
    <row r="699" spans="1:90" s="79" customFormat="1">
      <c r="A699" s="83" t="s">
        <v>3191</v>
      </c>
      <c r="B699" s="83" t="s">
        <v>2666</v>
      </c>
      <c r="C699" s="83"/>
      <c r="D699" s="83" t="s">
        <v>673</v>
      </c>
      <c r="E699" s="83" t="s">
        <v>2668</v>
      </c>
      <c r="F699" s="83" t="s">
        <v>3192</v>
      </c>
      <c r="G699" s="83" t="s">
        <v>2307</v>
      </c>
      <c r="H699" s="83" t="s">
        <v>1201</v>
      </c>
      <c r="I699" s="83" t="s">
        <v>1202</v>
      </c>
      <c r="J699" s="83" t="s">
        <v>1203</v>
      </c>
      <c r="K699" s="83" t="s">
        <v>565</v>
      </c>
      <c r="L699" s="83" t="s">
        <v>398</v>
      </c>
      <c r="M699" s="83" t="s">
        <v>399</v>
      </c>
      <c r="N699" s="83" t="s">
        <v>2833</v>
      </c>
      <c r="O699" s="83" t="s">
        <v>106</v>
      </c>
      <c r="P699" s="83">
        <v>4</v>
      </c>
      <c r="Q699" s="83" t="s">
        <v>106</v>
      </c>
      <c r="R699" s="83" t="s">
        <v>2727</v>
      </c>
      <c r="S699" s="83" t="s">
        <v>2706</v>
      </c>
      <c r="T699" s="83" t="s">
        <v>2843</v>
      </c>
      <c r="U699" s="83" t="s">
        <v>401</v>
      </c>
      <c r="V699" s="97"/>
      <c r="W699" s="97"/>
      <c r="X699" s="97"/>
      <c r="Y699" s="97"/>
      <c r="Z699" s="97"/>
      <c r="AA699" s="97"/>
      <c r="AB699" s="97"/>
      <c r="AC699" s="83" t="s">
        <v>401</v>
      </c>
      <c r="AD699" s="83">
        <v>256000</v>
      </c>
      <c r="AE699" s="83"/>
      <c r="AF699" s="83">
        <v>90000</v>
      </c>
      <c r="AG699" s="83"/>
      <c r="AH699" s="83"/>
      <c r="AI699" s="83"/>
      <c r="AJ699" s="83">
        <v>1</v>
      </c>
      <c r="AK699" s="83">
        <v>1</v>
      </c>
      <c r="AL699" s="83">
        <v>3496</v>
      </c>
      <c r="AM699" s="83" t="s">
        <v>2693</v>
      </c>
      <c r="AN699" s="83"/>
      <c r="AO699" s="83"/>
      <c r="AP699" s="83"/>
      <c r="AQ699" s="83"/>
      <c r="AR699" s="83"/>
      <c r="AS699" s="83"/>
      <c r="AT699" s="83"/>
      <c r="AU699" s="83"/>
      <c r="AV699" s="83"/>
      <c r="AW699" s="83"/>
      <c r="AX699" s="83"/>
      <c r="AY699" s="83"/>
      <c r="AZ699" s="83"/>
      <c r="BA699" s="83"/>
      <c r="BB699" s="83"/>
      <c r="BC699" s="83"/>
      <c r="BD699" s="83"/>
      <c r="BE699" s="83"/>
      <c r="BF699" s="83"/>
      <c r="BG699" s="83"/>
      <c r="BH699" s="83"/>
      <c r="BI699" s="83"/>
      <c r="BJ699" s="83"/>
      <c r="BK699" s="83" t="s">
        <v>2694</v>
      </c>
      <c r="BL699" s="83" t="s">
        <v>2697</v>
      </c>
      <c r="BM699" s="83" t="s">
        <v>2699</v>
      </c>
      <c r="BN699" s="83" t="s">
        <v>2698</v>
      </c>
      <c r="BO699" s="83" t="s">
        <v>2697</v>
      </c>
      <c r="BP699" s="83" t="s">
        <v>2698</v>
      </c>
      <c r="BQ699" s="83" t="s">
        <v>2699</v>
      </c>
      <c r="BR699" s="83" t="s">
        <v>2699</v>
      </c>
      <c r="BS699" s="83" t="s">
        <v>2699</v>
      </c>
      <c r="BT699" s="83" t="s">
        <v>2696</v>
      </c>
      <c r="BU699" s="83" t="s">
        <v>2699</v>
      </c>
      <c r="BV699" s="83" t="s">
        <v>2696</v>
      </c>
      <c r="BW699" s="83" t="s">
        <v>2698</v>
      </c>
      <c r="BX699" s="83" t="s">
        <v>2696</v>
      </c>
      <c r="BY699" s="83" t="s">
        <v>2699</v>
      </c>
      <c r="BZ699" s="83" t="s">
        <v>2693</v>
      </c>
      <c r="CA699" s="83" t="s">
        <v>2693</v>
      </c>
      <c r="CB699" s="83" t="s">
        <v>2694</v>
      </c>
      <c r="CC699" s="83" t="s">
        <v>2699</v>
      </c>
      <c r="CD699" s="83" t="s">
        <v>2696</v>
      </c>
      <c r="CE699" s="83"/>
      <c r="CF699" s="83" t="s">
        <v>3194</v>
      </c>
      <c r="CG699" s="83" t="s">
        <v>3195</v>
      </c>
      <c r="CH699" s="83" t="s">
        <v>2693</v>
      </c>
      <c r="CI699" s="83" t="s">
        <v>3992</v>
      </c>
      <c r="CJ699" s="83" t="s">
        <v>2701</v>
      </c>
      <c r="CK699" s="144">
        <v>0</v>
      </c>
      <c r="CL699"/>
    </row>
    <row r="700" spans="1:90" s="79" customFormat="1">
      <c r="A700" s="83" t="s">
        <v>3191</v>
      </c>
      <c r="B700" s="83" t="s">
        <v>2666</v>
      </c>
      <c r="C700" s="83"/>
      <c r="D700" s="83" t="s">
        <v>714</v>
      </c>
      <c r="E700" s="83" t="s">
        <v>2669</v>
      </c>
      <c r="F700" s="83" t="s">
        <v>3192</v>
      </c>
      <c r="G700" s="83" t="s">
        <v>2307</v>
      </c>
      <c r="H700" s="83" t="s">
        <v>1201</v>
      </c>
      <c r="I700" s="83" t="s">
        <v>1202</v>
      </c>
      <c r="J700" s="83" t="s">
        <v>1203</v>
      </c>
      <c r="K700" s="83" t="s">
        <v>565</v>
      </c>
      <c r="L700" s="83" t="s">
        <v>398</v>
      </c>
      <c r="M700" s="83" t="s">
        <v>399</v>
      </c>
      <c r="N700" s="83" t="s">
        <v>2833</v>
      </c>
      <c r="O700" s="83" t="s">
        <v>106</v>
      </c>
      <c r="P700" s="83">
        <v>9</v>
      </c>
      <c r="Q700" s="83" t="s">
        <v>106</v>
      </c>
      <c r="R700" s="83" t="s">
        <v>2727</v>
      </c>
      <c r="S700" s="83" t="s">
        <v>1465</v>
      </c>
      <c r="T700" s="83" t="s">
        <v>2843</v>
      </c>
      <c r="U700" s="83" t="s">
        <v>401</v>
      </c>
      <c r="V700" s="97"/>
      <c r="W700" s="97"/>
      <c r="X700" s="97"/>
      <c r="Y700" s="97"/>
      <c r="Z700" s="97"/>
      <c r="AA700" s="97"/>
      <c r="AB700" s="97"/>
      <c r="AC700" s="83" t="s">
        <v>401</v>
      </c>
      <c r="AD700" s="83">
        <v>328000</v>
      </c>
      <c r="AE700" s="83"/>
      <c r="AF700" s="83">
        <v>94000</v>
      </c>
      <c r="AG700" s="83"/>
      <c r="AH700" s="83"/>
      <c r="AI700" s="83"/>
      <c r="AJ700" s="83">
        <v>1</v>
      </c>
      <c r="AK700" s="83">
        <v>1</v>
      </c>
      <c r="AL700" s="83">
        <v>7280</v>
      </c>
      <c r="AM700" s="83" t="s">
        <v>2693</v>
      </c>
      <c r="AN700" s="83"/>
      <c r="AO700" s="83"/>
      <c r="AP700" s="83"/>
      <c r="AQ700" s="83"/>
      <c r="AR700" s="83"/>
      <c r="AS700" s="83"/>
      <c r="AT700" s="83"/>
      <c r="AU700" s="83"/>
      <c r="AV700" s="83"/>
      <c r="AW700" s="83"/>
      <c r="AX700" s="83"/>
      <c r="AY700" s="83"/>
      <c r="AZ700" s="83"/>
      <c r="BA700" s="83"/>
      <c r="BB700" s="83"/>
      <c r="BC700" s="83"/>
      <c r="BD700" s="83"/>
      <c r="BE700" s="83"/>
      <c r="BF700" s="83"/>
      <c r="BG700" s="83"/>
      <c r="BH700" s="83"/>
      <c r="BI700" s="83"/>
      <c r="BJ700" s="83"/>
      <c r="BK700" s="83" t="s">
        <v>2694</v>
      </c>
      <c r="BL700" s="83" t="s">
        <v>2693</v>
      </c>
      <c r="BM700" s="83" t="s">
        <v>2698</v>
      </c>
      <c r="BN700" s="83" t="s">
        <v>2696</v>
      </c>
      <c r="BO700" s="83" t="s">
        <v>2697</v>
      </c>
      <c r="BP700" s="83" t="s">
        <v>2697</v>
      </c>
      <c r="BQ700" s="83" t="s">
        <v>2699</v>
      </c>
      <c r="BR700" s="83" t="s">
        <v>2693</v>
      </c>
      <c r="BS700" s="83" t="s">
        <v>2699</v>
      </c>
      <c r="BT700" s="83" t="s">
        <v>2696</v>
      </c>
      <c r="BU700" s="83" t="s">
        <v>2699</v>
      </c>
      <c r="BV700" s="83" t="s">
        <v>2696</v>
      </c>
      <c r="BW700" s="83" t="s">
        <v>2698</v>
      </c>
      <c r="BX700" s="83" t="s">
        <v>2696</v>
      </c>
      <c r="BY700" s="83" t="s">
        <v>2699</v>
      </c>
      <c r="BZ700" s="83" t="s">
        <v>2693</v>
      </c>
      <c r="CA700" s="83" t="s">
        <v>2693</v>
      </c>
      <c r="CB700" s="83" t="s">
        <v>2694</v>
      </c>
      <c r="CC700" s="83" t="s">
        <v>2699</v>
      </c>
      <c r="CD700" s="83" t="s">
        <v>2696</v>
      </c>
      <c r="CE700" s="83"/>
      <c r="CF700" s="83" t="s">
        <v>3196</v>
      </c>
      <c r="CG700" s="83" t="s">
        <v>3197</v>
      </c>
      <c r="CH700" s="83" t="s">
        <v>2697</v>
      </c>
      <c r="CI700" s="83" t="s">
        <v>2695</v>
      </c>
      <c r="CJ700" s="83" t="s">
        <v>2757</v>
      </c>
      <c r="CK700" s="144">
        <v>0</v>
      </c>
      <c r="CL700"/>
    </row>
    <row r="701" spans="1:90" s="79" customFormat="1">
      <c r="A701" s="83" t="s">
        <v>1600</v>
      </c>
      <c r="B701" s="83" t="s">
        <v>690</v>
      </c>
      <c r="C701" s="83"/>
      <c r="D701" s="83" t="s">
        <v>688</v>
      </c>
      <c r="E701" s="83" t="s">
        <v>690</v>
      </c>
      <c r="F701" s="83" t="s">
        <v>2827</v>
      </c>
      <c r="G701" s="83" t="s">
        <v>1900</v>
      </c>
      <c r="H701" s="83" t="s">
        <v>1201</v>
      </c>
      <c r="I701" s="83" t="s">
        <v>1202</v>
      </c>
      <c r="J701" s="83" t="s">
        <v>1203</v>
      </c>
      <c r="K701" s="83" t="s">
        <v>565</v>
      </c>
      <c r="L701" s="83" t="s">
        <v>398</v>
      </c>
      <c r="M701" s="83" t="s">
        <v>399</v>
      </c>
      <c r="N701" s="83" t="s">
        <v>2752</v>
      </c>
      <c r="O701" s="83" t="s">
        <v>106</v>
      </c>
      <c r="P701" s="83">
        <v>8</v>
      </c>
      <c r="Q701" s="83" t="s">
        <v>106</v>
      </c>
      <c r="R701" s="83" t="s">
        <v>2799</v>
      </c>
      <c r="S701" s="83" t="s">
        <v>2790</v>
      </c>
      <c r="T701" s="83" t="s">
        <v>2769</v>
      </c>
      <c r="U701" s="83" t="s">
        <v>401</v>
      </c>
      <c r="V701" s="97"/>
      <c r="W701" s="97"/>
      <c r="X701" s="97"/>
      <c r="Y701" s="97"/>
      <c r="Z701" s="97"/>
      <c r="AA701" s="97"/>
      <c r="AB701" s="97"/>
      <c r="AC701" s="83" t="s">
        <v>401</v>
      </c>
      <c r="AD701" s="83">
        <v>3771000</v>
      </c>
      <c r="AE701" s="83"/>
      <c r="AF701" s="83">
        <v>558000</v>
      </c>
      <c r="AG701" s="83"/>
      <c r="AH701" s="83"/>
      <c r="AI701" s="83"/>
      <c r="AJ701" s="83">
        <v>1</v>
      </c>
      <c r="AK701" s="83">
        <v>1</v>
      </c>
      <c r="AL701" s="83">
        <v>46000</v>
      </c>
      <c r="AM701" s="83" t="s">
        <v>2693</v>
      </c>
      <c r="AN701" s="83"/>
      <c r="AO701" s="83"/>
      <c r="AP701" s="83"/>
      <c r="AQ701" s="83"/>
      <c r="AR701" s="83"/>
      <c r="AS701" s="83"/>
      <c r="AT701" s="83"/>
      <c r="AU701" s="83"/>
      <c r="AV701" s="83"/>
      <c r="AW701" s="83"/>
      <c r="AX701" s="83"/>
      <c r="AY701" s="83"/>
      <c r="AZ701" s="83"/>
      <c r="BA701" s="83"/>
      <c r="BB701" s="83"/>
      <c r="BC701" s="83"/>
      <c r="BD701" s="83"/>
      <c r="BE701" s="83"/>
      <c r="BF701" s="83"/>
      <c r="BG701" s="83"/>
      <c r="BH701" s="83"/>
      <c r="BI701" s="83"/>
      <c r="BJ701" s="83"/>
      <c r="BK701" s="83" t="s">
        <v>2694</v>
      </c>
      <c r="BL701" s="83" t="s">
        <v>2697</v>
      </c>
      <c r="BM701" s="83" t="s">
        <v>2699</v>
      </c>
      <c r="BN701" s="83" t="s">
        <v>2698</v>
      </c>
      <c r="BO701" s="83" t="s">
        <v>2697</v>
      </c>
      <c r="BP701" s="83" t="s">
        <v>2697</v>
      </c>
      <c r="BQ701" s="83" t="s">
        <v>2699</v>
      </c>
      <c r="BR701" s="83" t="s">
        <v>2699</v>
      </c>
      <c r="BS701" s="83" t="s">
        <v>2699</v>
      </c>
      <c r="BT701" s="83" t="s">
        <v>2696</v>
      </c>
      <c r="BU701" s="83" t="s">
        <v>2699</v>
      </c>
      <c r="BV701" s="83" t="s">
        <v>2696</v>
      </c>
      <c r="BW701" s="83" t="s">
        <v>2699</v>
      </c>
      <c r="BX701" s="83" t="s">
        <v>2696</v>
      </c>
      <c r="BY701" s="83" t="s">
        <v>2699</v>
      </c>
      <c r="BZ701" s="83" t="s">
        <v>2693</v>
      </c>
      <c r="CA701" s="83" t="s">
        <v>2693</v>
      </c>
      <c r="CB701" s="83" t="s">
        <v>2694</v>
      </c>
      <c r="CC701" s="83" t="s">
        <v>2699</v>
      </c>
      <c r="CD701" s="83" t="s">
        <v>2699</v>
      </c>
      <c r="CE701" s="83"/>
      <c r="CF701" s="83" t="s">
        <v>2213</v>
      </c>
      <c r="CG701" s="83" t="s">
        <v>2214</v>
      </c>
      <c r="CH701" s="83" t="s">
        <v>2695</v>
      </c>
      <c r="CI701" s="83" t="s">
        <v>648</v>
      </c>
      <c r="CJ701" s="83" t="s">
        <v>2731</v>
      </c>
      <c r="CK701" s="144">
        <v>0</v>
      </c>
      <c r="CL701" s="99">
        <v>23000</v>
      </c>
    </row>
    <row r="702" spans="1:90" s="79" customFormat="1">
      <c r="A702" s="83" t="s">
        <v>2846</v>
      </c>
      <c r="B702" s="83" t="s">
        <v>2847</v>
      </c>
      <c r="C702" s="83"/>
      <c r="D702" s="83" t="s">
        <v>688</v>
      </c>
      <c r="E702" s="83" t="s">
        <v>2474</v>
      </c>
      <c r="F702" s="83" t="s">
        <v>2848</v>
      </c>
      <c r="G702" s="83" t="s">
        <v>2261</v>
      </c>
      <c r="H702" s="83" t="s">
        <v>1201</v>
      </c>
      <c r="I702" s="83" t="s">
        <v>1202</v>
      </c>
      <c r="J702" s="83" t="s">
        <v>1203</v>
      </c>
      <c r="K702" s="83" t="s">
        <v>565</v>
      </c>
      <c r="L702" s="83" t="s">
        <v>398</v>
      </c>
      <c r="M702" s="83" t="s">
        <v>399</v>
      </c>
      <c r="N702" s="83" t="s">
        <v>2752</v>
      </c>
      <c r="O702" s="83" t="s">
        <v>106</v>
      </c>
      <c r="P702" s="83">
        <v>8</v>
      </c>
      <c r="Q702" s="83" t="s">
        <v>106</v>
      </c>
      <c r="R702" s="83" t="s">
        <v>2767</v>
      </c>
      <c r="S702" s="83" t="s">
        <v>1468</v>
      </c>
      <c r="T702" s="83" t="s">
        <v>2843</v>
      </c>
      <c r="U702" s="83" t="s">
        <v>401</v>
      </c>
      <c r="V702" s="97"/>
      <c r="W702" s="97"/>
      <c r="X702" s="97"/>
      <c r="Y702" s="97"/>
      <c r="Z702" s="97"/>
      <c r="AA702" s="97"/>
      <c r="AB702" s="97"/>
      <c r="AC702" s="83" t="s">
        <v>401</v>
      </c>
      <c r="AD702" s="83">
        <v>1765000</v>
      </c>
      <c r="AE702" s="83"/>
      <c r="AF702" s="83">
        <v>114000</v>
      </c>
      <c r="AG702" s="83"/>
      <c r="AH702" s="83"/>
      <c r="AI702" s="83"/>
      <c r="AJ702" s="83">
        <v>1</v>
      </c>
      <c r="AK702" s="83">
        <v>1</v>
      </c>
      <c r="AL702" s="83">
        <v>11949</v>
      </c>
      <c r="AM702" s="83" t="s">
        <v>2693</v>
      </c>
      <c r="AN702" s="83"/>
      <c r="AO702" s="83"/>
      <c r="AP702" s="83"/>
      <c r="AQ702" s="83"/>
      <c r="AR702" s="83"/>
      <c r="AS702" s="83"/>
      <c r="AT702" s="83"/>
      <c r="AU702" s="83"/>
      <c r="AV702" s="83"/>
      <c r="AW702" s="83"/>
      <c r="AX702" s="83"/>
      <c r="AY702" s="83"/>
      <c r="AZ702" s="83"/>
      <c r="BA702" s="83"/>
      <c r="BB702" s="83"/>
      <c r="BC702" s="83"/>
      <c r="BD702" s="83"/>
      <c r="BE702" s="83"/>
      <c r="BF702" s="83"/>
      <c r="BG702" s="83"/>
      <c r="BH702" s="83"/>
      <c r="BI702" s="83"/>
      <c r="BJ702" s="83"/>
      <c r="BK702" s="83" t="s">
        <v>2694</v>
      </c>
      <c r="BL702" s="83" t="s">
        <v>2697</v>
      </c>
      <c r="BM702" s="83" t="s">
        <v>2699</v>
      </c>
      <c r="BN702" s="83" t="s">
        <v>2698</v>
      </c>
      <c r="BO702" s="83" t="s">
        <v>2697</v>
      </c>
      <c r="BP702" s="83" t="s">
        <v>2697</v>
      </c>
      <c r="BQ702" s="83" t="s">
        <v>2699</v>
      </c>
      <c r="BR702" s="83" t="s">
        <v>2699</v>
      </c>
      <c r="BS702" s="83" t="s">
        <v>2699</v>
      </c>
      <c r="BT702" s="83" t="s">
        <v>2696</v>
      </c>
      <c r="BU702" s="83" t="s">
        <v>2699</v>
      </c>
      <c r="BV702" s="83" t="s">
        <v>2696</v>
      </c>
      <c r="BW702" s="83" t="s">
        <v>2698</v>
      </c>
      <c r="BX702" s="83" t="s">
        <v>2696</v>
      </c>
      <c r="BY702" s="83" t="s">
        <v>2699</v>
      </c>
      <c r="BZ702" s="83" t="s">
        <v>2693</v>
      </c>
      <c r="CA702" s="83" t="s">
        <v>2693</v>
      </c>
      <c r="CB702" s="83" t="s">
        <v>2694</v>
      </c>
      <c r="CC702" s="83" t="s">
        <v>2699</v>
      </c>
      <c r="CD702" s="83" t="s">
        <v>2699</v>
      </c>
      <c r="CE702" s="83"/>
      <c r="CF702" s="83" t="s">
        <v>2849</v>
      </c>
      <c r="CG702" s="83" t="s">
        <v>2850</v>
      </c>
      <c r="CH702" s="83" t="s">
        <v>2695</v>
      </c>
      <c r="CI702" s="83" t="s">
        <v>648</v>
      </c>
      <c r="CJ702" s="83" t="s">
        <v>2726</v>
      </c>
      <c r="CK702" s="144">
        <v>0</v>
      </c>
      <c r="CL702" s="99">
        <v>192000</v>
      </c>
    </row>
    <row r="703" spans="1:90" s="79" customFormat="1">
      <c r="A703" s="83" t="s">
        <v>2846</v>
      </c>
      <c r="B703" s="83" t="s">
        <v>2847</v>
      </c>
      <c r="C703" s="83"/>
      <c r="D703" s="83" t="s">
        <v>673</v>
      </c>
      <c r="E703" s="83" t="s">
        <v>2475</v>
      </c>
      <c r="F703" s="83" t="s">
        <v>2848</v>
      </c>
      <c r="G703" s="83" t="s">
        <v>2261</v>
      </c>
      <c r="H703" s="83" t="s">
        <v>1201</v>
      </c>
      <c r="I703" s="83" t="s">
        <v>1202</v>
      </c>
      <c r="J703" s="83" t="s">
        <v>1203</v>
      </c>
      <c r="K703" s="83" t="s">
        <v>565</v>
      </c>
      <c r="L703" s="83" t="s">
        <v>398</v>
      </c>
      <c r="M703" s="83" t="s">
        <v>399</v>
      </c>
      <c r="N703" s="83" t="s">
        <v>2752</v>
      </c>
      <c r="O703" s="83" t="s">
        <v>106</v>
      </c>
      <c r="P703" s="83">
        <v>8</v>
      </c>
      <c r="Q703" s="83" t="s">
        <v>106</v>
      </c>
      <c r="R703" s="83" t="s">
        <v>2767</v>
      </c>
      <c r="S703" s="83" t="s">
        <v>1468</v>
      </c>
      <c r="T703" s="83" t="s">
        <v>2843</v>
      </c>
      <c r="U703" s="83" t="s">
        <v>401</v>
      </c>
      <c r="V703" s="97"/>
      <c r="W703" s="97"/>
      <c r="X703" s="97"/>
      <c r="Y703" s="97"/>
      <c r="Z703" s="97"/>
      <c r="AA703" s="97"/>
      <c r="AB703" s="97"/>
      <c r="AC703" s="83" t="s">
        <v>401</v>
      </c>
      <c r="AD703" s="83">
        <v>4827000</v>
      </c>
      <c r="AE703" s="83"/>
      <c r="AF703" s="83">
        <v>672000</v>
      </c>
      <c r="AG703" s="83"/>
      <c r="AH703" s="83"/>
      <c r="AI703" s="83"/>
      <c r="AJ703" s="83">
        <v>1</v>
      </c>
      <c r="AK703" s="83">
        <v>2</v>
      </c>
      <c r="AL703" s="83">
        <v>32435</v>
      </c>
      <c r="AM703" s="83" t="s">
        <v>2693</v>
      </c>
      <c r="AN703" s="83"/>
      <c r="AO703" s="83"/>
      <c r="AP703" s="83"/>
      <c r="AQ703" s="83"/>
      <c r="AR703" s="83"/>
      <c r="AS703" s="83"/>
      <c r="AT703" s="83"/>
      <c r="AU703" s="83"/>
      <c r="AV703" s="83"/>
      <c r="AW703" s="83"/>
      <c r="AX703" s="83"/>
      <c r="AY703" s="83"/>
      <c r="AZ703" s="83"/>
      <c r="BA703" s="83"/>
      <c r="BB703" s="83"/>
      <c r="BC703" s="83"/>
      <c r="BD703" s="83"/>
      <c r="BE703" s="83"/>
      <c r="BF703" s="83"/>
      <c r="BG703" s="83"/>
      <c r="BH703" s="83"/>
      <c r="BI703" s="83"/>
      <c r="BJ703" s="83"/>
      <c r="BK703" s="83" t="s">
        <v>2694</v>
      </c>
      <c r="BL703" s="83" t="s">
        <v>2697</v>
      </c>
      <c r="BM703" s="83" t="s">
        <v>2699</v>
      </c>
      <c r="BN703" s="83" t="s">
        <v>2698</v>
      </c>
      <c r="BO703" s="83" t="s">
        <v>2697</v>
      </c>
      <c r="BP703" s="83" t="s">
        <v>2697</v>
      </c>
      <c r="BQ703" s="83" t="s">
        <v>2699</v>
      </c>
      <c r="BR703" s="83" t="s">
        <v>2699</v>
      </c>
      <c r="BS703" s="83" t="s">
        <v>2699</v>
      </c>
      <c r="BT703" s="83" t="s">
        <v>2696</v>
      </c>
      <c r="BU703" s="83" t="s">
        <v>2699</v>
      </c>
      <c r="BV703" s="83" t="s">
        <v>2696</v>
      </c>
      <c r="BW703" s="83" t="s">
        <v>2698</v>
      </c>
      <c r="BX703" s="83" t="s">
        <v>2696</v>
      </c>
      <c r="BY703" s="83" t="s">
        <v>2699</v>
      </c>
      <c r="BZ703" s="83" t="s">
        <v>2693</v>
      </c>
      <c r="CA703" s="83" t="s">
        <v>2693</v>
      </c>
      <c r="CB703" s="83" t="s">
        <v>2694</v>
      </c>
      <c r="CC703" s="83" t="s">
        <v>2699</v>
      </c>
      <c r="CD703" s="83" t="s">
        <v>2699</v>
      </c>
      <c r="CE703" s="83"/>
      <c r="CF703" s="83" t="s">
        <v>2851</v>
      </c>
      <c r="CG703" s="83" t="s">
        <v>2852</v>
      </c>
      <c r="CH703" s="83" t="s">
        <v>2695</v>
      </c>
      <c r="CI703" s="83" t="s">
        <v>648</v>
      </c>
      <c r="CJ703" s="83" t="s">
        <v>2726</v>
      </c>
      <c r="CK703" s="144">
        <v>0</v>
      </c>
      <c r="CL703"/>
    </row>
    <row r="704" spans="1:90" s="79" customFormat="1">
      <c r="A704" s="83" t="s">
        <v>3008</v>
      </c>
      <c r="B704" s="83" t="s">
        <v>3009</v>
      </c>
      <c r="C704" s="83"/>
      <c r="D704" s="83" t="s">
        <v>688</v>
      </c>
      <c r="E704" s="83" t="s">
        <v>2543</v>
      </c>
      <c r="F704" s="83" t="s">
        <v>3010</v>
      </c>
      <c r="G704" s="83" t="s">
        <v>1871</v>
      </c>
      <c r="H704" s="83" t="s">
        <v>1201</v>
      </c>
      <c r="I704" s="83" t="s">
        <v>1202</v>
      </c>
      <c r="J704" s="83" t="s">
        <v>1203</v>
      </c>
      <c r="K704" s="83" t="s">
        <v>565</v>
      </c>
      <c r="L704" s="83" t="s">
        <v>398</v>
      </c>
      <c r="M704" s="83" t="s">
        <v>399</v>
      </c>
      <c r="N704" s="83" t="s">
        <v>3001</v>
      </c>
      <c r="O704" s="83" t="s">
        <v>106</v>
      </c>
      <c r="P704" s="83">
        <v>0</v>
      </c>
      <c r="Q704" s="83" t="s">
        <v>106</v>
      </c>
      <c r="R704" s="83" t="s">
        <v>2730</v>
      </c>
      <c r="S704" s="87">
        <v>31412</v>
      </c>
      <c r="T704" s="83" t="s">
        <v>2843</v>
      </c>
      <c r="U704" s="83" t="s">
        <v>401</v>
      </c>
      <c r="V704" s="97"/>
      <c r="W704" s="97"/>
      <c r="X704" s="97"/>
      <c r="Y704" s="97"/>
      <c r="Z704" s="97"/>
      <c r="AA704" s="97"/>
      <c r="AB704" s="97"/>
      <c r="AC704" s="83" t="s">
        <v>401</v>
      </c>
      <c r="AD704" s="83">
        <v>0</v>
      </c>
      <c r="AE704" s="83"/>
      <c r="AF704" s="83">
        <v>0</v>
      </c>
      <c r="AG704" s="83"/>
      <c r="AH704" s="83"/>
      <c r="AI704" s="83"/>
      <c r="AJ704" s="83">
        <v>1</v>
      </c>
      <c r="AK704" s="83">
        <v>1</v>
      </c>
      <c r="AL704" s="83">
        <v>0</v>
      </c>
      <c r="AM704" s="83" t="s">
        <v>2693</v>
      </c>
      <c r="AN704" s="83"/>
      <c r="AO704" s="83"/>
      <c r="AP704" s="83"/>
      <c r="AQ704" s="83"/>
      <c r="AR704" s="83"/>
      <c r="AS704" s="83"/>
      <c r="AT704" s="83"/>
      <c r="AU704" s="83"/>
      <c r="AV704" s="83"/>
      <c r="AW704" s="83"/>
      <c r="AX704" s="83"/>
      <c r="AY704" s="83"/>
      <c r="AZ704" s="83"/>
      <c r="BA704" s="83"/>
      <c r="BB704" s="83"/>
      <c r="BC704" s="83"/>
      <c r="BD704" s="83"/>
      <c r="BE704" s="83"/>
      <c r="BF704" s="83"/>
      <c r="BG704" s="83"/>
      <c r="BH704" s="83"/>
      <c r="BI704" s="83"/>
      <c r="BJ704" s="83"/>
      <c r="BK704" s="83">
        <v>0</v>
      </c>
      <c r="BL704" s="83">
        <v>0</v>
      </c>
      <c r="BM704" s="83">
        <v>0</v>
      </c>
      <c r="BN704" s="83">
        <v>0</v>
      </c>
      <c r="BO704" s="83">
        <v>0</v>
      </c>
      <c r="BP704" s="83">
        <v>0</v>
      </c>
      <c r="BQ704" s="83">
        <v>0</v>
      </c>
      <c r="BR704" s="83">
        <v>0</v>
      </c>
      <c r="BS704" s="83">
        <v>0</v>
      </c>
      <c r="BT704" s="83">
        <v>0</v>
      </c>
      <c r="BU704" s="83">
        <v>1</v>
      </c>
      <c r="BV704" s="83">
        <v>0</v>
      </c>
      <c r="BW704" s="83">
        <v>0</v>
      </c>
      <c r="BX704" s="83">
        <v>0</v>
      </c>
      <c r="BY704" s="83">
        <v>0</v>
      </c>
      <c r="BZ704" s="83">
        <v>0</v>
      </c>
      <c r="CA704" s="83">
        <v>0</v>
      </c>
      <c r="CB704" s="83">
        <v>0</v>
      </c>
      <c r="CC704" s="83">
        <v>0</v>
      </c>
      <c r="CD704" s="83">
        <v>0</v>
      </c>
      <c r="CE704" s="83"/>
      <c r="CF704" s="83" t="s">
        <v>3011</v>
      </c>
      <c r="CG704" s="83" t="s">
        <v>3012</v>
      </c>
      <c r="CH704" s="83"/>
      <c r="CI704" s="83"/>
      <c r="CJ704" s="83"/>
      <c r="CK704" s="144">
        <v>0</v>
      </c>
      <c r="CL704"/>
    </row>
    <row r="705" spans="1:90">
      <c r="A705" s="79" t="s">
        <v>3788</v>
      </c>
      <c r="B705" s="79" t="s">
        <v>3815</v>
      </c>
      <c r="C705" s="79"/>
      <c r="D705" s="79" t="s">
        <v>688</v>
      </c>
      <c r="E705" s="79" t="s">
        <v>3849</v>
      </c>
      <c r="F705" s="79">
        <v>102</v>
      </c>
      <c r="G705" s="79" t="s">
        <v>3875</v>
      </c>
      <c r="H705" s="79" t="s">
        <v>1201</v>
      </c>
      <c r="I705" s="79" t="s">
        <v>1202</v>
      </c>
      <c r="J705" s="79" t="s">
        <v>1203</v>
      </c>
      <c r="K705" s="79" t="s">
        <v>565</v>
      </c>
      <c r="L705" s="79" t="s">
        <v>398</v>
      </c>
      <c r="M705" s="79" t="s">
        <v>399</v>
      </c>
      <c r="N705" s="79" t="s">
        <v>2832</v>
      </c>
      <c r="O705" s="79" t="s">
        <v>106</v>
      </c>
      <c r="P705" s="79">
        <v>0</v>
      </c>
      <c r="Q705" s="79" t="s">
        <v>106</v>
      </c>
      <c r="R705" s="79">
        <v>8</v>
      </c>
      <c r="S705" s="90">
        <v>33238</v>
      </c>
      <c r="T705" s="79" t="s">
        <v>2703</v>
      </c>
      <c r="U705" s="79" t="s">
        <v>401</v>
      </c>
      <c r="AC705" s="79" t="s">
        <v>401</v>
      </c>
      <c r="AD705" s="79">
        <v>0</v>
      </c>
      <c r="AE705" s="79"/>
      <c r="AF705" s="79">
        <v>80000</v>
      </c>
      <c r="AG705" s="79"/>
      <c r="AH705" s="79"/>
      <c r="AI705" s="79"/>
      <c r="AJ705" s="79">
        <v>1</v>
      </c>
      <c r="AK705" s="79">
        <v>0</v>
      </c>
      <c r="AL705" s="79">
        <v>0</v>
      </c>
      <c r="AM705" s="79">
        <v>0</v>
      </c>
      <c r="AN705" s="79">
        <v>0</v>
      </c>
      <c r="AO705" s="79">
        <v>0</v>
      </c>
      <c r="AP705" s="79">
        <v>0</v>
      </c>
      <c r="AQ705" s="79">
        <v>0</v>
      </c>
      <c r="AR705" s="79">
        <v>0</v>
      </c>
      <c r="AS705" s="79">
        <v>0</v>
      </c>
      <c r="AT705" s="79">
        <v>0</v>
      </c>
      <c r="AU705" s="79">
        <v>0</v>
      </c>
      <c r="AV705" s="79">
        <v>0</v>
      </c>
      <c r="AW705" s="79">
        <v>0</v>
      </c>
      <c r="AX705" s="79">
        <v>0</v>
      </c>
      <c r="AY705" s="79">
        <v>0</v>
      </c>
      <c r="AZ705" s="79">
        <v>0</v>
      </c>
      <c r="BA705" s="79">
        <v>0</v>
      </c>
      <c r="BB705" s="79">
        <v>0</v>
      </c>
      <c r="BC705" s="79">
        <v>0</v>
      </c>
      <c r="BD705" s="79">
        <v>0</v>
      </c>
      <c r="BE705" s="79">
        <v>0</v>
      </c>
      <c r="BF705" s="79">
        <v>0</v>
      </c>
      <c r="BG705" s="79">
        <v>0</v>
      </c>
      <c r="BH705" s="79">
        <v>0</v>
      </c>
      <c r="BI705" s="79">
        <v>0</v>
      </c>
      <c r="BJ705" s="79">
        <v>0</v>
      </c>
      <c r="BK705" s="79">
        <v>0</v>
      </c>
      <c r="BL705" s="79">
        <v>0</v>
      </c>
      <c r="BM705" s="79">
        <v>0</v>
      </c>
      <c r="BN705" s="79">
        <v>0</v>
      </c>
      <c r="BO705" s="79">
        <v>0</v>
      </c>
      <c r="BP705" s="79">
        <v>0</v>
      </c>
      <c r="BQ705" s="79">
        <v>0</v>
      </c>
      <c r="BR705" s="79">
        <v>0</v>
      </c>
      <c r="BS705" s="79">
        <v>0</v>
      </c>
      <c r="BT705" s="79">
        <v>0</v>
      </c>
      <c r="BU705" s="79">
        <v>0</v>
      </c>
      <c r="BV705" s="79">
        <v>0</v>
      </c>
      <c r="BW705" s="79">
        <v>0</v>
      </c>
      <c r="BX705" s="79">
        <v>0</v>
      </c>
      <c r="BY705" s="79">
        <v>0</v>
      </c>
      <c r="BZ705" s="79">
        <v>0</v>
      </c>
      <c r="CA705" s="79">
        <v>0</v>
      </c>
      <c r="CB705" s="79">
        <v>0</v>
      </c>
      <c r="CC705" s="79">
        <v>0</v>
      </c>
      <c r="CD705" s="79">
        <v>0</v>
      </c>
      <c r="CE705" s="79"/>
      <c r="CF705" s="79" t="s">
        <v>3976</v>
      </c>
      <c r="CG705" s="79" t="s">
        <v>3977</v>
      </c>
      <c r="CH705" s="79"/>
      <c r="CI705" s="79"/>
      <c r="CJ705" s="79"/>
      <c r="CK705" s="145"/>
      <c r="CL705"/>
    </row>
    <row r="706" spans="1:90">
      <c r="A706" s="83" t="s">
        <v>1601</v>
      </c>
      <c r="B706" s="83" t="s">
        <v>1107</v>
      </c>
      <c r="D706" s="83" t="s">
        <v>688</v>
      </c>
      <c r="E706" s="83" t="s">
        <v>1107</v>
      </c>
      <c r="F706" s="83" t="s">
        <v>1793</v>
      </c>
      <c r="G706" s="83" t="s">
        <v>1901</v>
      </c>
      <c r="H706" s="83" t="s">
        <v>1201</v>
      </c>
      <c r="I706" s="83" t="s">
        <v>1202</v>
      </c>
      <c r="J706" s="83" t="s">
        <v>1203</v>
      </c>
      <c r="K706" s="83" t="s">
        <v>565</v>
      </c>
      <c r="L706" s="83" t="s">
        <v>398</v>
      </c>
      <c r="M706" s="83" t="s">
        <v>399</v>
      </c>
      <c r="N706" s="83" t="s">
        <v>2828</v>
      </c>
      <c r="O706" s="83" t="s">
        <v>106</v>
      </c>
      <c r="P706" s="83">
        <v>8</v>
      </c>
      <c r="Q706" s="83" t="s">
        <v>106</v>
      </c>
      <c r="R706" s="83" t="s">
        <v>2727</v>
      </c>
      <c r="S706" s="83" t="s">
        <v>2746</v>
      </c>
      <c r="T706" s="83" t="s">
        <v>2703</v>
      </c>
      <c r="U706" s="83" t="s">
        <v>401</v>
      </c>
      <c r="AC706" s="83" t="s">
        <v>401</v>
      </c>
      <c r="AD706" s="83">
        <v>518000</v>
      </c>
      <c r="AF706" s="83">
        <v>72000</v>
      </c>
      <c r="AJ706" s="83">
        <v>1</v>
      </c>
      <c r="AK706" s="83">
        <v>1</v>
      </c>
      <c r="AL706" s="83">
        <v>5952</v>
      </c>
      <c r="AM706" s="83" t="s">
        <v>2693</v>
      </c>
      <c r="BK706" s="83" t="s">
        <v>2694</v>
      </c>
      <c r="BL706" s="83" t="s">
        <v>2699</v>
      </c>
      <c r="BM706" s="83" t="s">
        <v>2697</v>
      </c>
      <c r="BN706" s="83" t="s">
        <v>2693</v>
      </c>
      <c r="BO706" s="83" t="s">
        <v>2693</v>
      </c>
      <c r="BP706" s="83" t="s">
        <v>2695</v>
      </c>
      <c r="BQ706" s="83" t="s">
        <v>2693</v>
      </c>
      <c r="BR706" s="83" t="s">
        <v>2693</v>
      </c>
      <c r="BS706" s="83" t="s">
        <v>2699</v>
      </c>
      <c r="BT706" s="83">
        <v>0</v>
      </c>
      <c r="BU706" s="83" t="s">
        <v>2699</v>
      </c>
      <c r="BV706" s="83" t="s">
        <v>2696</v>
      </c>
      <c r="BW706" s="83" t="s">
        <v>2698</v>
      </c>
      <c r="BX706" s="83" t="s">
        <v>2696</v>
      </c>
      <c r="BY706" s="83" t="s">
        <v>2699</v>
      </c>
      <c r="BZ706" s="83" t="s">
        <v>2693</v>
      </c>
      <c r="CA706" s="83" t="s">
        <v>2693</v>
      </c>
      <c r="CB706" s="83" t="s">
        <v>2694</v>
      </c>
      <c r="CC706" s="83" t="s">
        <v>2699</v>
      </c>
      <c r="CD706" s="83" t="s">
        <v>2696</v>
      </c>
      <c r="CF706" s="83" t="s">
        <v>2236</v>
      </c>
      <c r="CG706" s="83" t="s">
        <v>2237</v>
      </c>
      <c r="CH706" s="83" t="s">
        <v>2695</v>
      </c>
      <c r="CI706" s="83" t="s">
        <v>648</v>
      </c>
      <c r="CJ706" s="83" t="s">
        <v>2731</v>
      </c>
      <c r="CK706" s="144">
        <v>1</v>
      </c>
      <c r="CL706"/>
    </row>
    <row r="707" spans="1:90">
      <c r="A707" s="83" t="s">
        <v>1602</v>
      </c>
      <c r="B707" s="83" t="s">
        <v>966</v>
      </c>
      <c r="D707" s="83" t="s">
        <v>688</v>
      </c>
      <c r="E707" s="83" t="s">
        <v>966</v>
      </c>
      <c r="F707" s="83" t="s">
        <v>1794</v>
      </c>
      <c r="G707" s="83" t="s">
        <v>1902</v>
      </c>
      <c r="H707" s="83" t="s">
        <v>1201</v>
      </c>
      <c r="I707" s="83" t="s">
        <v>1202</v>
      </c>
      <c r="J707" s="83" t="s">
        <v>1203</v>
      </c>
      <c r="K707" s="83" t="s">
        <v>565</v>
      </c>
      <c r="L707" s="83" t="s">
        <v>398</v>
      </c>
      <c r="M707" s="83" t="s">
        <v>399</v>
      </c>
      <c r="N707" s="83" t="s">
        <v>2778</v>
      </c>
      <c r="O707" s="83" t="s">
        <v>106</v>
      </c>
      <c r="P707" s="83">
        <v>8</v>
      </c>
      <c r="Q707" s="83" t="s">
        <v>106</v>
      </c>
      <c r="R707" s="83" t="s">
        <v>2753</v>
      </c>
      <c r="S707" s="83" t="s">
        <v>1449</v>
      </c>
      <c r="T707" s="83" t="s">
        <v>2703</v>
      </c>
      <c r="U707" s="83" t="s">
        <v>401</v>
      </c>
      <c r="AC707" s="83" t="s">
        <v>401</v>
      </c>
      <c r="AD707" s="83">
        <v>1243000</v>
      </c>
      <c r="AF707" s="83">
        <v>269000</v>
      </c>
      <c r="AJ707" s="83">
        <v>1</v>
      </c>
      <c r="AK707" s="83">
        <v>1</v>
      </c>
      <c r="AL707" s="83">
        <v>8928</v>
      </c>
      <c r="AM707" s="83" t="s">
        <v>2693</v>
      </c>
      <c r="BK707" s="83" t="s">
        <v>2694</v>
      </c>
      <c r="BL707" s="83" t="s">
        <v>2704</v>
      </c>
      <c r="BM707" s="83" t="s">
        <v>2697</v>
      </c>
      <c r="BN707" s="83" t="s">
        <v>2699</v>
      </c>
      <c r="BO707" s="83" t="s">
        <v>2693</v>
      </c>
      <c r="BP707" s="83" t="s">
        <v>2695</v>
      </c>
      <c r="BQ707" s="83" t="s">
        <v>2699</v>
      </c>
      <c r="BR707" s="83" t="s">
        <v>2693</v>
      </c>
      <c r="BS707" s="83" t="s">
        <v>2699</v>
      </c>
      <c r="BT707" s="83">
        <v>0</v>
      </c>
      <c r="BU707" s="83" t="s">
        <v>2699</v>
      </c>
      <c r="BV707" s="83" t="s">
        <v>2696</v>
      </c>
      <c r="BW707" s="83" t="s">
        <v>2698</v>
      </c>
      <c r="BX707" s="83" t="s">
        <v>2696</v>
      </c>
      <c r="BY707" s="83" t="s">
        <v>2699</v>
      </c>
      <c r="BZ707" s="83" t="s">
        <v>2693</v>
      </c>
      <c r="CA707" s="83" t="s">
        <v>2693</v>
      </c>
      <c r="CB707" s="83" t="s">
        <v>2694</v>
      </c>
      <c r="CC707" s="83" t="s">
        <v>2699</v>
      </c>
      <c r="CD707" s="83" t="s">
        <v>2699</v>
      </c>
      <c r="CF707" s="83" t="s">
        <v>2829</v>
      </c>
      <c r="CG707" s="83" t="s">
        <v>2071</v>
      </c>
      <c r="CH707" s="83" t="s">
        <v>2695</v>
      </c>
      <c r="CI707" s="83" t="s">
        <v>648</v>
      </c>
      <c r="CJ707" s="83" t="s">
        <v>2731</v>
      </c>
      <c r="CK707" s="144">
        <v>0</v>
      </c>
      <c r="CL707" s="99">
        <v>40000</v>
      </c>
    </row>
    <row r="708" spans="1:90">
      <c r="A708" s="83" t="s">
        <v>3187</v>
      </c>
      <c r="B708" s="83" t="s">
        <v>977</v>
      </c>
      <c r="D708" s="83" t="s">
        <v>688</v>
      </c>
      <c r="E708" s="83" t="s">
        <v>977</v>
      </c>
      <c r="F708" s="83" t="s">
        <v>3188</v>
      </c>
      <c r="G708" s="83" t="s">
        <v>2306</v>
      </c>
      <c r="H708" s="83" t="s">
        <v>1201</v>
      </c>
      <c r="I708" s="83" t="s">
        <v>1202</v>
      </c>
      <c r="J708" s="83" t="s">
        <v>1203</v>
      </c>
      <c r="K708" s="83" t="s">
        <v>565</v>
      </c>
      <c r="L708" s="83" t="s">
        <v>398</v>
      </c>
      <c r="M708" s="83" t="s">
        <v>399</v>
      </c>
      <c r="N708" s="83" t="s">
        <v>2833</v>
      </c>
      <c r="O708" s="83" t="s">
        <v>106</v>
      </c>
      <c r="P708" s="83">
        <v>8</v>
      </c>
      <c r="Q708" s="83" t="s">
        <v>106</v>
      </c>
      <c r="R708" s="83" t="s">
        <v>2753</v>
      </c>
      <c r="S708" s="83" t="s">
        <v>1468</v>
      </c>
      <c r="T708" s="83" t="s">
        <v>2843</v>
      </c>
      <c r="U708" s="83" t="s">
        <v>401</v>
      </c>
      <c r="AC708" s="83" t="s">
        <v>401</v>
      </c>
      <c r="AD708" s="83">
        <v>1578000</v>
      </c>
      <c r="AF708" s="83">
        <v>316000</v>
      </c>
      <c r="AJ708" s="83">
        <v>1</v>
      </c>
      <c r="AK708" s="83">
        <v>2</v>
      </c>
      <c r="AL708" s="83">
        <v>10478</v>
      </c>
      <c r="AM708" s="83" t="s">
        <v>2693</v>
      </c>
      <c r="BK708" s="83" t="s">
        <v>2694</v>
      </c>
      <c r="BL708" s="83" t="s">
        <v>2704</v>
      </c>
      <c r="BM708" s="83" t="s">
        <v>2698</v>
      </c>
      <c r="BN708" s="83" t="s">
        <v>2698</v>
      </c>
      <c r="BO708" s="83" t="s">
        <v>2697</v>
      </c>
      <c r="BP708" s="83" t="s">
        <v>2698</v>
      </c>
      <c r="BQ708" s="83" t="s">
        <v>2699</v>
      </c>
      <c r="BR708" s="83" t="s">
        <v>2693</v>
      </c>
      <c r="BS708" s="83" t="s">
        <v>2699</v>
      </c>
      <c r="BT708" s="83" t="s">
        <v>2696</v>
      </c>
      <c r="BU708" s="83" t="s">
        <v>2699</v>
      </c>
      <c r="BV708" s="83" t="s">
        <v>2696</v>
      </c>
      <c r="BW708" s="83" t="s">
        <v>2698</v>
      </c>
      <c r="BX708" s="83" t="s">
        <v>2696</v>
      </c>
      <c r="BY708" s="83" t="s">
        <v>2699</v>
      </c>
      <c r="BZ708" s="83" t="s">
        <v>2693</v>
      </c>
      <c r="CA708" s="83" t="s">
        <v>2693</v>
      </c>
      <c r="CB708" s="83" t="s">
        <v>2694</v>
      </c>
      <c r="CC708" s="83" t="s">
        <v>2699</v>
      </c>
      <c r="CD708" s="83" t="s">
        <v>2696</v>
      </c>
      <c r="CF708" s="83" t="s">
        <v>3189</v>
      </c>
      <c r="CG708" s="83" t="s">
        <v>3190</v>
      </c>
      <c r="CH708" s="83" t="s">
        <v>2695</v>
      </c>
      <c r="CI708" s="83" t="s">
        <v>648</v>
      </c>
      <c r="CJ708" s="83" t="s">
        <v>2722</v>
      </c>
      <c r="CK708" s="144">
        <v>0</v>
      </c>
      <c r="CL708" s="99">
        <v>49000</v>
      </c>
    </row>
    <row r="709" spans="1:90">
      <c r="A709" s="83" t="s">
        <v>3547</v>
      </c>
      <c r="B709" s="83" t="s">
        <v>771</v>
      </c>
      <c r="D709" s="83" t="s">
        <v>688</v>
      </c>
      <c r="E709" s="83" t="s">
        <v>3548</v>
      </c>
      <c r="F709" s="83" t="s">
        <v>3549</v>
      </c>
      <c r="G709" s="83" t="s">
        <v>1194</v>
      </c>
      <c r="H709" s="83" t="s">
        <v>1201</v>
      </c>
      <c r="I709" s="83" t="s">
        <v>1202</v>
      </c>
      <c r="J709" s="83" t="s">
        <v>1203</v>
      </c>
      <c r="K709" s="83" t="s">
        <v>565</v>
      </c>
      <c r="L709" s="83" t="s">
        <v>398</v>
      </c>
      <c r="M709" s="83" t="s">
        <v>399</v>
      </c>
      <c r="N709" s="83" t="s">
        <v>3057</v>
      </c>
      <c r="O709" s="83" t="s">
        <v>106</v>
      </c>
      <c r="P709" s="83">
        <v>0</v>
      </c>
      <c r="Q709" s="83" t="s">
        <v>106</v>
      </c>
      <c r="R709" s="83" t="s">
        <v>2767</v>
      </c>
      <c r="S709" s="83" t="s">
        <v>2712</v>
      </c>
      <c r="T709" s="83" t="s">
        <v>2703</v>
      </c>
      <c r="U709" s="83" t="s">
        <v>401</v>
      </c>
      <c r="AC709" s="83" t="s">
        <v>401</v>
      </c>
      <c r="AD709" s="83">
        <v>0</v>
      </c>
      <c r="AF709" s="83">
        <v>100000</v>
      </c>
      <c r="AJ709" s="83">
        <v>1</v>
      </c>
      <c r="AK709" s="83">
        <v>0</v>
      </c>
      <c r="AL709" s="83">
        <v>0</v>
      </c>
      <c r="AM709" s="83" t="s">
        <v>2693</v>
      </c>
      <c r="BK709" s="83">
        <v>0</v>
      </c>
      <c r="BL709" s="83">
        <v>0</v>
      </c>
      <c r="BM709" s="83">
        <v>0</v>
      </c>
      <c r="BN709" s="83">
        <v>0</v>
      </c>
      <c r="BO709" s="83">
        <v>0</v>
      </c>
      <c r="BP709" s="83">
        <v>0</v>
      </c>
      <c r="BQ709" s="83">
        <v>0</v>
      </c>
      <c r="BR709" s="83">
        <v>0</v>
      </c>
      <c r="BS709" s="83">
        <v>0</v>
      </c>
      <c r="BT709" s="83">
        <v>0</v>
      </c>
      <c r="BU709" s="83">
        <v>1</v>
      </c>
      <c r="BV709" s="83">
        <v>0</v>
      </c>
      <c r="BW709" s="83">
        <v>0</v>
      </c>
      <c r="BX709" s="83">
        <v>0</v>
      </c>
      <c r="BY709" s="83">
        <v>0</v>
      </c>
      <c r="BZ709" s="83">
        <v>0</v>
      </c>
      <c r="CA709" s="83">
        <v>0</v>
      </c>
      <c r="CB709" s="83">
        <v>0</v>
      </c>
      <c r="CC709" s="83">
        <v>0</v>
      </c>
      <c r="CD709" s="83">
        <v>0</v>
      </c>
      <c r="CF709" s="83" t="s">
        <v>877</v>
      </c>
      <c r="CG709" s="83" t="s">
        <v>878</v>
      </c>
      <c r="CK709" s="144">
        <v>0</v>
      </c>
      <c r="CL709"/>
    </row>
    <row r="710" spans="1:90">
      <c r="A710" s="83" t="s">
        <v>796</v>
      </c>
      <c r="B710" s="83" t="s">
        <v>2427</v>
      </c>
      <c r="D710" s="83" t="s">
        <v>688</v>
      </c>
      <c r="E710" s="83" t="s">
        <v>2428</v>
      </c>
      <c r="F710" s="83" t="s">
        <v>3425</v>
      </c>
      <c r="G710" s="83" t="s">
        <v>1155</v>
      </c>
      <c r="H710" s="83" t="s">
        <v>1201</v>
      </c>
      <c r="I710" s="83" t="s">
        <v>1202</v>
      </c>
      <c r="J710" s="83" t="s">
        <v>1203</v>
      </c>
      <c r="K710" s="83" t="s">
        <v>565</v>
      </c>
      <c r="L710" s="83" t="s">
        <v>398</v>
      </c>
      <c r="M710" s="83" t="s">
        <v>399</v>
      </c>
      <c r="N710" s="83" t="s">
        <v>3057</v>
      </c>
      <c r="O710" s="83" t="s">
        <v>106</v>
      </c>
      <c r="P710" s="83">
        <v>4</v>
      </c>
      <c r="Q710" s="83" t="s">
        <v>106</v>
      </c>
      <c r="R710" s="83" t="s">
        <v>2799</v>
      </c>
      <c r="S710" s="83" t="s">
        <v>2751</v>
      </c>
      <c r="T710" s="83" t="s">
        <v>2703</v>
      </c>
      <c r="U710" s="83" t="s">
        <v>401</v>
      </c>
      <c r="AC710" s="83" t="s">
        <v>401</v>
      </c>
      <c r="AD710" s="83">
        <v>177000</v>
      </c>
      <c r="AF710" s="83">
        <v>51000</v>
      </c>
      <c r="AJ710" s="83">
        <v>1</v>
      </c>
      <c r="AK710" s="83">
        <v>1</v>
      </c>
      <c r="AL710" s="83">
        <v>1971</v>
      </c>
      <c r="AM710" s="83" t="s">
        <v>2693</v>
      </c>
      <c r="BK710" s="83" t="s">
        <v>2694</v>
      </c>
      <c r="BL710" s="83" t="s">
        <v>2704</v>
      </c>
      <c r="BM710" s="83" t="s">
        <v>2698</v>
      </c>
      <c r="BN710" s="83" t="s">
        <v>2698</v>
      </c>
      <c r="BO710" s="83" t="s">
        <v>2697</v>
      </c>
      <c r="BP710" s="83" t="s">
        <v>2695</v>
      </c>
      <c r="BQ710" s="83" t="s">
        <v>2699</v>
      </c>
      <c r="BR710" s="83" t="s">
        <v>2693</v>
      </c>
      <c r="BS710" s="83" t="s">
        <v>2699</v>
      </c>
      <c r="BT710" s="83" t="s">
        <v>2696</v>
      </c>
      <c r="BU710" s="83" t="s">
        <v>2699</v>
      </c>
      <c r="BV710" s="83" t="s">
        <v>2697</v>
      </c>
      <c r="BW710" s="83" t="s">
        <v>2698</v>
      </c>
      <c r="BX710" s="83" t="s">
        <v>2696</v>
      </c>
      <c r="BY710" s="83" t="s">
        <v>2699</v>
      </c>
      <c r="BZ710" s="83" t="s">
        <v>2699</v>
      </c>
      <c r="CA710" s="83" t="s">
        <v>2693</v>
      </c>
      <c r="CB710" s="83" t="s">
        <v>2694</v>
      </c>
      <c r="CC710" s="83" t="s">
        <v>2699</v>
      </c>
      <c r="CD710" s="83" t="s">
        <v>2696</v>
      </c>
      <c r="CF710" s="83" t="s">
        <v>797</v>
      </c>
      <c r="CG710" s="83" t="s">
        <v>798</v>
      </c>
      <c r="CH710" s="83" t="s">
        <v>2693</v>
      </c>
      <c r="CI710" s="83" t="s">
        <v>3992</v>
      </c>
      <c r="CJ710" s="83" t="s">
        <v>2701</v>
      </c>
      <c r="CK710" s="144">
        <v>2</v>
      </c>
      <c r="CL710"/>
    </row>
    <row r="711" spans="1:90">
      <c r="A711" s="83" t="s">
        <v>1470</v>
      </c>
      <c r="B711" s="83" t="s">
        <v>1646</v>
      </c>
      <c r="D711" s="83" t="s">
        <v>688</v>
      </c>
      <c r="E711" s="83" t="s">
        <v>1646</v>
      </c>
      <c r="F711" s="83" t="s">
        <v>1795</v>
      </c>
      <c r="G711" s="83" t="s">
        <v>1167</v>
      </c>
      <c r="H711" s="83" t="s">
        <v>1201</v>
      </c>
      <c r="I711" s="83" t="s">
        <v>1202</v>
      </c>
      <c r="J711" s="83" t="s">
        <v>1203</v>
      </c>
      <c r="K711" s="83" t="s">
        <v>565</v>
      </c>
      <c r="L711" s="83" t="s">
        <v>398</v>
      </c>
      <c r="M711" s="83" t="s">
        <v>399</v>
      </c>
      <c r="N711" s="83" t="s">
        <v>2705</v>
      </c>
      <c r="O711" s="83" t="s">
        <v>106</v>
      </c>
      <c r="P711" s="83">
        <v>8</v>
      </c>
      <c r="Q711" s="83" t="s">
        <v>106</v>
      </c>
      <c r="R711" s="83" t="s">
        <v>2799</v>
      </c>
      <c r="S711" s="83" t="s">
        <v>2830</v>
      </c>
      <c r="T711" s="83" t="s">
        <v>2703</v>
      </c>
      <c r="U711" s="83" t="s">
        <v>401</v>
      </c>
      <c r="AC711" s="83" t="s">
        <v>401</v>
      </c>
      <c r="AD711" s="83">
        <v>9303000</v>
      </c>
      <c r="AF711" s="83">
        <v>610000</v>
      </c>
      <c r="AJ711" s="83">
        <v>1</v>
      </c>
      <c r="AK711" s="83">
        <v>1</v>
      </c>
      <c r="AL711" s="83">
        <v>50265</v>
      </c>
      <c r="AM711" s="83" t="s">
        <v>2693</v>
      </c>
      <c r="BK711" s="83" t="s">
        <v>2694</v>
      </c>
      <c r="BL711" s="83" t="s">
        <v>2697</v>
      </c>
      <c r="BM711" s="83" t="s">
        <v>2693</v>
      </c>
      <c r="BN711" s="83" t="s">
        <v>2697</v>
      </c>
      <c r="BO711" s="83" t="s">
        <v>2699</v>
      </c>
      <c r="BP711" s="83" t="s">
        <v>2697</v>
      </c>
      <c r="BQ711" s="83" t="s">
        <v>2696</v>
      </c>
      <c r="BR711" s="83" t="s">
        <v>2693</v>
      </c>
      <c r="BS711" s="83" t="s">
        <v>2699</v>
      </c>
      <c r="BT711" s="83">
        <v>0</v>
      </c>
      <c r="BU711" s="83" t="s">
        <v>2699</v>
      </c>
      <c r="BV711" s="83" t="s">
        <v>2696</v>
      </c>
      <c r="BW711" s="83" t="s">
        <v>2698</v>
      </c>
      <c r="BX711" s="83" t="s">
        <v>2696</v>
      </c>
      <c r="BY711" s="83" t="s">
        <v>2699</v>
      </c>
      <c r="BZ711" s="83" t="s">
        <v>2699</v>
      </c>
      <c r="CA711" s="83" t="s">
        <v>2699</v>
      </c>
      <c r="CB711" s="83" t="s">
        <v>2694</v>
      </c>
      <c r="CC711" s="83" t="s">
        <v>2699</v>
      </c>
      <c r="CD711" s="83" t="s">
        <v>2699</v>
      </c>
      <c r="CF711" s="83" t="s">
        <v>2208</v>
      </c>
      <c r="CG711" s="83" t="s">
        <v>2209</v>
      </c>
      <c r="CH711" s="83" t="s">
        <v>2695</v>
      </c>
      <c r="CI711" s="83" t="s">
        <v>648</v>
      </c>
      <c r="CJ711" s="83" t="s">
        <v>2731</v>
      </c>
      <c r="CK711" s="144">
        <v>0</v>
      </c>
      <c r="CL711" s="99">
        <v>16000</v>
      </c>
    </row>
    <row r="712" spans="1:90">
      <c r="A712" s="79" t="s">
        <v>2441</v>
      </c>
      <c r="B712" s="79" t="s">
        <v>4041</v>
      </c>
      <c r="C712" s="79"/>
      <c r="D712" s="79" t="s">
        <v>688</v>
      </c>
      <c r="E712" s="79" t="s">
        <v>1012</v>
      </c>
      <c r="F712" s="79" t="s">
        <v>3508</v>
      </c>
      <c r="G712" s="79" t="s">
        <v>2442</v>
      </c>
      <c r="H712" s="79" t="s">
        <v>1201</v>
      </c>
      <c r="I712" s="79" t="s">
        <v>1202</v>
      </c>
      <c r="J712" s="79" t="s">
        <v>1203</v>
      </c>
      <c r="K712" s="79" t="s">
        <v>565</v>
      </c>
      <c r="L712" s="79" t="s">
        <v>398</v>
      </c>
      <c r="M712" s="79" t="s">
        <v>399</v>
      </c>
      <c r="N712" s="79" t="s">
        <v>1909</v>
      </c>
      <c r="O712" s="79" t="s">
        <v>106</v>
      </c>
      <c r="P712" s="79">
        <v>4</v>
      </c>
      <c r="Q712" s="79" t="s">
        <v>106</v>
      </c>
      <c r="R712" s="79" t="s">
        <v>2691</v>
      </c>
      <c r="S712" s="79" t="s">
        <v>2760</v>
      </c>
      <c r="T712" s="79" t="s">
        <v>2703</v>
      </c>
      <c r="U712" s="79" t="s">
        <v>401</v>
      </c>
      <c r="AC712" s="79" t="s">
        <v>401</v>
      </c>
      <c r="AD712" s="79">
        <v>279000</v>
      </c>
      <c r="AE712" s="79"/>
      <c r="AF712" s="79">
        <v>34000</v>
      </c>
      <c r="AG712" s="79"/>
      <c r="AH712" s="79"/>
      <c r="AI712" s="79"/>
      <c r="AJ712" s="79">
        <v>1</v>
      </c>
      <c r="AK712" s="79">
        <v>1</v>
      </c>
      <c r="AL712" s="79">
        <v>3432</v>
      </c>
      <c r="AM712" s="79" t="s">
        <v>2693</v>
      </c>
      <c r="AN712" s="79"/>
      <c r="AO712" s="79"/>
      <c r="AP712" s="79"/>
      <c r="AQ712" s="79"/>
      <c r="AR712" s="79"/>
      <c r="AS712" s="79"/>
      <c r="AT712" s="79"/>
      <c r="AU712" s="79"/>
      <c r="AV712" s="79"/>
      <c r="AW712" s="79"/>
      <c r="AX712" s="79"/>
      <c r="AY712" s="79"/>
      <c r="AZ712" s="79"/>
      <c r="BA712" s="79"/>
      <c r="BB712" s="79"/>
      <c r="BC712" s="79"/>
      <c r="BD712" s="79"/>
      <c r="BE712" s="79"/>
      <c r="BF712" s="79"/>
      <c r="BG712" s="79"/>
      <c r="BH712" s="79"/>
      <c r="BI712" s="79"/>
      <c r="BJ712" s="79"/>
      <c r="BK712" s="79" t="s">
        <v>2694</v>
      </c>
      <c r="BL712" s="79" t="s">
        <v>2693</v>
      </c>
      <c r="BM712" s="79" t="s">
        <v>2697</v>
      </c>
      <c r="BN712" s="79" t="s">
        <v>2696</v>
      </c>
      <c r="BO712" s="79" t="s">
        <v>2697</v>
      </c>
      <c r="BP712" s="79" t="s">
        <v>2698</v>
      </c>
      <c r="BQ712" s="79" t="s">
        <v>2699</v>
      </c>
      <c r="BR712" s="79" t="s">
        <v>2693</v>
      </c>
      <c r="BS712" s="79" t="s">
        <v>2699</v>
      </c>
      <c r="BT712" s="79" t="s">
        <v>2696</v>
      </c>
      <c r="BU712" s="79">
        <v>1</v>
      </c>
      <c r="BV712" s="79" t="s">
        <v>2696</v>
      </c>
      <c r="BW712" s="79" t="s">
        <v>2698</v>
      </c>
      <c r="BX712" s="79" t="s">
        <v>2696</v>
      </c>
      <c r="BY712" s="79" t="s">
        <v>2699</v>
      </c>
      <c r="BZ712" s="79" t="s">
        <v>2693</v>
      </c>
      <c r="CA712" s="79" t="s">
        <v>2693</v>
      </c>
      <c r="CB712" s="79" t="s">
        <v>2693</v>
      </c>
      <c r="CC712" s="79" t="s">
        <v>2699</v>
      </c>
      <c r="CD712" s="79" t="s">
        <v>2696</v>
      </c>
      <c r="CE712" s="79"/>
      <c r="CF712" s="81" t="s">
        <v>2464</v>
      </c>
      <c r="CG712" s="81" t="s">
        <v>2465</v>
      </c>
      <c r="CH712" s="79" t="s">
        <v>2693</v>
      </c>
      <c r="CI712" s="79" t="s">
        <v>2076</v>
      </c>
      <c r="CJ712" s="79" t="s">
        <v>2701</v>
      </c>
      <c r="CK712" s="145">
        <v>0</v>
      </c>
      <c r="CL712"/>
    </row>
    <row r="713" spans="1:90">
      <c r="A713" s="83" t="s">
        <v>876</v>
      </c>
      <c r="B713" s="83" t="s">
        <v>3550</v>
      </c>
      <c r="D713" s="83" t="s">
        <v>688</v>
      </c>
      <c r="E713" s="83" t="s">
        <v>3551</v>
      </c>
      <c r="F713" s="83" t="s">
        <v>3425</v>
      </c>
      <c r="G713" s="83" t="s">
        <v>1155</v>
      </c>
      <c r="H713" s="83" t="s">
        <v>1201</v>
      </c>
      <c r="I713" s="83" t="s">
        <v>1202</v>
      </c>
      <c r="J713" s="83" t="s">
        <v>1203</v>
      </c>
      <c r="K713" s="83" t="s">
        <v>565</v>
      </c>
      <c r="L713" s="83" t="s">
        <v>398</v>
      </c>
      <c r="M713" s="83" t="s">
        <v>399</v>
      </c>
      <c r="N713" s="83" t="s">
        <v>3057</v>
      </c>
      <c r="O713" s="83" t="s">
        <v>106</v>
      </c>
      <c r="P713" s="83">
        <v>1</v>
      </c>
      <c r="Q713" s="83" t="s">
        <v>106</v>
      </c>
      <c r="R713" s="83" t="s">
        <v>2799</v>
      </c>
      <c r="S713" s="83" t="s">
        <v>2714</v>
      </c>
      <c r="T713" s="83" t="s">
        <v>2703</v>
      </c>
      <c r="U713" s="83" t="s">
        <v>401</v>
      </c>
      <c r="AC713" s="83" t="s">
        <v>401</v>
      </c>
      <c r="AD713" s="83">
        <v>2000</v>
      </c>
      <c r="AF713" s="83">
        <v>1000</v>
      </c>
      <c r="AJ713" s="83">
        <v>1</v>
      </c>
      <c r="AK713" s="83">
        <v>1</v>
      </c>
      <c r="AL713" s="83">
        <v>64</v>
      </c>
      <c r="AM713" s="83" t="s">
        <v>2693</v>
      </c>
      <c r="BK713" s="83" t="s">
        <v>2694</v>
      </c>
      <c r="BL713" s="83" t="s">
        <v>2693</v>
      </c>
      <c r="BM713" s="83" t="s">
        <v>2698</v>
      </c>
      <c r="BN713" s="83" t="s">
        <v>2696</v>
      </c>
      <c r="BO713" s="83" t="s">
        <v>2697</v>
      </c>
      <c r="BP713" s="83" t="s">
        <v>2698</v>
      </c>
      <c r="BQ713" s="83" t="s">
        <v>2699</v>
      </c>
      <c r="BR713" s="83" t="s">
        <v>2693</v>
      </c>
      <c r="BS713" s="83" t="s">
        <v>2699</v>
      </c>
      <c r="BT713" s="83" t="s">
        <v>2696</v>
      </c>
      <c r="BU713" s="83" t="s">
        <v>2699</v>
      </c>
      <c r="BV713" s="83" t="s">
        <v>2697</v>
      </c>
      <c r="BW713" s="83" t="s">
        <v>2693</v>
      </c>
      <c r="BX713" s="83" t="s">
        <v>2696</v>
      </c>
      <c r="BY713" s="83" t="s">
        <v>2693</v>
      </c>
      <c r="BZ713" s="83" t="s">
        <v>2699</v>
      </c>
      <c r="CA713" s="83" t="s">
        <v>2693</v>
      </c>
      <c r="CB713" s="83" t="s">
        <v>2694</v>
      </c>
      <c r="CC713" s="83" t="s">
        <v>2696</v>
      </c>
      <c r="CD713" s="83" t="s">
        <v>2696</v>
      </c>
      <c r="CF713" s="83" t="s">
        <v>1146</v>
      </c>
      <c r="CG713" s="83" t="s">
        <v>1147</v>
      </c>
      <c r="CH713" s="83" t="s">
        <v>2699</v>
      </c>
      <c r="CI713" s="83" t="s">
        <v>2699</v>
      </c>
      <c r="CJ713" s="83" t="s">
        <v>2734</v>
      </c>
      <c r="CK713" s="144">
        <v>0</v>
      </c>
      <c r="CL713"/>
    </row>
    <row r="714" spans="1:90">
      <c r="A714" s="83" t="s">
        <v>1145</v>
      </c>
      <c r="B714" s="83" t="s">
        <v>3552</v>
      </c>
      <c r="D714" s="83" t="s">
        <v>688</v>
      </c>
      <c r="E714" s="83" t="s">
        <v>768</v>
      </c>
      <c r="F714" s="83" t="s">
        <v>3425</v>
      </c>
      <c r="G714" s="83" t="s">
        <v>1155</v>
      </c>
      <c r="H714" s="83" t="s">
        <v>1201</v>
      </c>
      <c r="I714" s="83" t="s">
        <v>1202</v>
      </c>
      <c r="J714" s="83" t="s">
        <v>1203</v>
      </c>
      <c r="K714" s="83" t="s">
        <v>565</v>
      </c>
      <c r="L714" s="83" t="s">
        <v>398</v>
      </c>
      <c r="M714" s="83" t="s">
        <v>399</v>
      </c>
      <c r="N714" s="83" t="s">
        <v>3057</v>
      </c>
      <c r="O714" s="83" t="s">
        <v>106</v>
      </c>
      <c r="P714" s="83">
        <v>9</v>
      </c>
      <c r="Q714" s="83" t="s">
        <v>106</v>
      </c>
      <c r="R714" s="83">
        <v>40</v>
      </c>
      <c r="S714" s="83" t="s">
        <v>1446</v>
      </c>
      <c r="T714" s="83" t="s">
        <v>2703</v>
      </c>
      <c r="U714" s="83" t="s">
        <v>401</v>
      </c>
      <c r="AC714" s="83" t="s">
        <v>401</v>
      </c>
      <c r="AD714" s="83">
        <v>8000</v>
      </c>
      <c r="AF714" s="83">
        <v>2000</v>
      </c>
      <c r="AJ714" s="83">
        <v>1</v>
      </c>
      <c r="AK714" s="83">
        <v>1</v>
      </c>
      <c r="AL714" s="83">
        <v>160</v>
      </c>
      <c r="AM714" s="83" t="s">
        <v>2693</v>
      </c>
      <c r="BK714" s="83" t="s">
        <v>2694</v>
      </c>
      <c r="BL714" s="83" t="s">
        <v>2693</v>
      </c>
      <c r="BM714" s="83" t="s">
        <v>2698</v>
      </c>
      <c r="BN714" s="83" t="s">
        <v>2698</v>
      </c>
      <c r="BO714" s="83" t="s">
        <v>2697</v>
      </c>
      <c r="BP714" s="83" t="s">
        <v>2697</v>
      </c>
      <c r="BQ714" s="83" t="s">
        <v>2699</v>
      </c>
      <c r="BR714" s="83" t="s">
        <v>2693</v>
      </c>
      <c r="BS714" s="83" t="s">
        <v>2699</v>
      </c>
      <c r="BT714" s="83" t="s">
        <v>2696</v>
      </c>
      <c r="BU714" s="83" t="s">
        <v>2699</v>
      </c>
      <c r="BV714" s="83" t="s">
        <v>2697</v>
      </c>
      <c r="BW714" s="83" t="s">
        <v>2693</v>
      </c>
      <c r="BX714" s="83" t="s">
        <v>2696</v>
      </c>
      <c r="BY714" s="83" t="s">
        <v>2693</v>
      </c>
      <c r="BZ714" s="83" t="s">
        <v>2699</v>
      </c>
      <c r="CA714" s="83" t="s">
        <v>2693</v>
      </c>
      <c r="CB714" s="83" t="s">
        <v>2694</v>
      </c>
      <c r="CC714" s="83" t="s">
        <v>2696</v>
      </c>
      <c r="CD714" s="83" t="s">
        <v>2696</v>
      </c>
      <c r="CF714" s="83" t="s">
        <v>1077</v>
      </c>
      <c r="CG714" s="83" t="s">
        <v>1078</v>
      </c>
      <c r="CH714" s="83" t="s">
        <v>2697</v>
      </c>
      <c r="CI714" s="83" t="s">
        <v>648</v>
      </c>
      <c r="CJ714" s="83" t="s">
        <v>2757</v>
      </c>
      <c r="CK714" s="144">
        <v>0</v>
      </c>
      <c r="CL714"/>
    </row>
    <row r="715" spans="1:90">
      <c r="A715" s="83" t="s">
        <v>2602</v>
      </c>
      <c r="B715" s="83" t="s">
        <v>3133</v>
      </c>
      <c r="D715" s="83" t="s">
        <v>688</v>
      </c>
      <c r="E715" s="83" t="s">
        <v>2541</v>
      </c>
      <c r="G715" s="83" t="s">
        <v>2302</v>
      </c>
      <c r="H715" s="83" t="s">
        <v>1201</v>
      </c>
      <c r="I715" s="83" t="s">
        <v>1202</v>
      </c>
      <c r="J715" s="83" t="s">
        <v>1203</v>
      </c>
      <c r="K715" s="83" t="s">
        <v>565</v>
      </c>
      <c r="L715" s="83" t="s">
        <v>398</v>
      </c>
      <c r="M715" s="83" t="s">
        <v>399</v>
      </c>
      <c r="N715" s="83" t="s">
        <v>1909</v>
      </c>
      <c r="O715" s="83" t="s">
        <v>106</v>
      </c>
      <c r="P715" s="83">
        <v>8</v>
      </c>
      <c r="Q715" s="83" t="s">
        <v>106</v>
      </c>
      <c r="R715" s="83" t="s">
        <v>2727</v>
      </c>
      <c r="S715" s="83" t="s">
        <v>2741</v>
      </c>
      <c r="T715" s="83" t="s">
        <v>2843</v>
      </c>
      <c r="U715" s="83" t="s">
        <v>401</v>
      </c>
      <c r="AC715" s="83" t="s">
        <v>401</v>
      </c>
      <c r="AD715" s="83">
        <v>818000</v>
      </c>
      <c r="AF715" s="83">
        <v>64000</v>
      </c>
      <c r="AJ715" s="83">
        <v>1</v>
      </c>
      <c r="AK715" s="83">
        <v>1</v>
      </c>
      <c r="AL715" s="83">
        <v>6465</v>
      </c>
      <c r="AM715" s="83" t="s">
        <v>2693</v>
      </c>
      <c r="BK715" s="83" t="s">
        <v>2694</v>
      </c>
      <c r="BL715" s="83" t="s">
        <v>2695</v>
      </c>
      <c r="BM715" s="83" t="s">
        <v>2699</v>
      </c>
      <c r="BN715" s="83" t="s">
        <v>2698</v>
      </c>
      <c r="BO715" s="83" t="s">
        <v>2693</v>
      </c>
      <c r="BP715" s="83" t="s">
        <v>2697</v>
      </c>
      <c r="BQ715" s="83" t="s">
        <v>2699</v>
      </c>
      <c r="BR715" s="83" t="s">
        <v>2699</v>
      </c>
      <c r="BS715" s="83" t="s">
        <v>2699</v>
      </c>
      <c r="BT715" s="83" t="s">
        <v>2696</v>
      </c>
      <c r="BU715" s="83" t="s">
        <v>2699</v>
      </c>
      <c r="BV715" s="83" t="s">
        <v>2696</v>
      </c>
      <c r="BW715" s="83" t="s">
        <v>2698</v>
      </c>
      <c r="BX715" s="83" t="s">
        <v>2696</v>
      </c>
      <c r="BY715" s="83" t="s">
        <v>2699</v>
      </c>
      <c r="BZ715" s="83" t="s">
        <v>2693</v>
      </c>
      <c r="CA715" s="83" t="s">
        <v>2693</v>
      </c>
      <c r="CB715" s="83" t="s">
        <v>2694</v>
      </c>
      <c r="CC715" s="83" t="s">
        <v>2699</v>
      </c>
      <c r="CD715" s="83" t="s">
        <v>2696</v>
      </c>
      <c r="CF715" s="83" t="s">
        <v>3134</v>
      </c>
      <c r="CG715" s="83" t="s">
        <v>3135</v>
      </c>
      <c r="CH715" s="83" t="s">
        <v>2695</v>
      </c>
      <c r="CI715" s="83" t="s">
        <v>648</v>
      </c>
      <c r="CJ715" s="83" t="s">
        <v>2726</v>
      </c>
      <c r="CL715"/>
    </row>
    <row r="716" spans="1:90">
      <c r="A716" s="83" t="s">
        <v>3789</v>
      </c>
      <c r="B716" s="83" t="s">
        <v>736</v>
      </c>
      <c r="D716" s="83" t="s">
        <v>688</v>
      </c>
      <c r="E716" s="83" t="s">
        <v>1012</v>
      </c>
      <c r="F716" s="83">
        <v>11964</v>
      </c>
      <c r="G716" s="83" t="s">
        <v>971</v>
      </c>
      <c r="H716" s="83" t="s">
        <v>1201</v>
      </c>
      <c r="I716" s="83" t="s">
        <v>1202</v>
      </c>
      <c r="J716" s="83" t="s">
        <v>1203</v>
      </c>
      <c r="K716" s="83" t="s">
        <v>565</v>
      </c>
      <c r="L716" s="83" t="s">
        <v>398</v>
      </c>
      <c r="M716" s="83" t="s">
        <v>399</v>
      </c>
      <c r="N716" s="83" t="s">
        <v>3152</v>
      </c>
      <c r="O716" s="83" t="s">
        <v>106</v>
      </c>
      <c r="P716" s="83">
        <v>8</v>
      </c>
      <c r="Q716" s="83" t="s">
        <v>106</v>
      </c>
      <c r="R716" s="83">
        <v>10</v>
      </c>
      <c r="S716" s="87">
        <v>29586</v>
      </c>
      <c r="T716" s="83" t="s">
        <v>2703</v>
      </c>
      <c r="U716" s="83" t="s">
        <v>401</v>
      </c>
      <c r="AC716" s="83" t="s">
        <v>401</v>
      </c>
      <c r="AD716" s="83">
        <v>2751000</v>
      </c>
      <c r="AF716" s="83">
        <v>150000</v>
      </c>
      <c r="AJ716" s="83">
        <v>1</v>
      </c>
      <c r="AK716" s="83">
        <v>1</v>
      </c>
      <c r="AL716" s="83">
        <v>15222</v>
      </c>
      <c r="AM716" s="83" t="s">
        <v>2693</v>
      </c>
      <c r="BK716" s="83">
        <v>9</v>
      </c>
      <c r="BL716" s="83">
        <v>3</v>
      </c>
      <c r="BM716" s="83">
        <v>2</v>
      </c>
      <c r="BN716" s="83">
        <v>5</v>
      </c>
      <c r="BO716" s="83">
        <v>2</v>
      </c>
      <c r="BP716" s="83">
        <v>3</v>
      </c>
      <c r="BQ716" s="83">
        <v>1</v>
      </c>
      <c r="BR716" s="83">
        <v>2</v>
      </c>
      <c r="BS716" s="83">
        <v>1</v>
      </c>
      <c r="BT716" s="83">
        <v>0</v>
      </c>
      <c r="BU716" s="83">
        <v>1</v>
      </c>
      <c r="BV716" s="79">
        <v>0</v>
      </c>
      <c r="BW716" s="83">
        <v>5</v>
      </c>
      <c r="BX716" s="83">
        <v>0</v>
      </c>
      <c r="BY716" s="83">
        <v>1</v>
      </c>
      <c r="BZ716" s="83">
        <v>0</v>
      </c>
      <c r="CA716" s="83">
        <v>1</v>
      </c>
      <c r="CB716" s="83">
        <v>8</v>
      </c>
      <c r="CC716" s="83">
        <v>1</v>
      </c>
      <c r="CD716" s="83">
        <v>1</v>
      </c>
      <c r="CF716" s="88" t="s">
        <v>2468</v>
      </c>
      <c r="CG716" s="88" t="s">
        <v>3675</v>
      </c>
      <c r="CH716" s="83" t="s">
        <v>2695</v>
      </c>
      <c r="CI716" s="83" t="s">
        <v>648</v>
      </c>
      <c r="CJ716" s="83" t="s">
        <v>2726</v>
      </c>
      <c r="CK716" s="144">
        <v>0</v>
      </c>
      <c r="CL716" s="99">
        <v>478000</v>
      </c>
    </row>
    <row r="717" spans="1:90">
      <c r="A717" s="83" t="s">
        <v>3789</v>
      </c>
      <c r="B717" s="83" t="s">
        <v>736</v>
      </c>
      <c r="D717" s="83" t="s">
        <v>673</v>
      </c>
      <c r="E717" s="83" t="s">
        <v>822</v>
      </c>
      <c r="F717" s="83">
        <v>11964</v>
      </c>
      <c r="G717" s="83" t="s">
        <v>971</v>
      </c>
      <c r="H717" s="83" t="s">
        <v>1201</v>
      </c>
      <c r="I717" s="83" t="s">
        <v>1202</v>
      </c>
      <c r="J717" s="83" t="s">
        <v>1203</v>
      </c>
      <c r="K717" s="83" t="s">
        <v>565</v>
      </c>
      <c r="L717" s="83" t="s">
        <v>398</v>
      </c>
      <c r="M717" s="83" t="s">
        <v>399</v>
      </c>
      <c r="N717" s="83" t="s">
        <v>3152</v>
      </c>
      <c r="O717" s="83" t="s">
        <v>106</v>
      </c>
      <c r="P717" s="83">
        <v>4</v>
      </c>
      <c r="Q717" s="83" t="s">
        <v>106</v>
      </c>
      <c r="R717" s="83" t="s">
        <v>2691</v>
      </c>
      <c r="S717" s="87">
        <v>29586</v>
      </c>
      <c r="T717" s="83" t="s">
        <v>2703</v>
      </c>
      <c r="U717" s="83" t="s">
        <v>401</v>
      </c>
      <c r="AC717" s="83" t="s">
        <v>401</v>
      </c>
      <c r="AD717" s="83">
        <v>57000</v>
      </c>
      <c r="AF717" s="83">
        <v>0</v>
      </c>
      <c r="AJ717" s="83">
        <v>1</v>
      </c>
      <c r="AK717" s="83">
        <v>1</v>
      </c>
      <c r="AL717" s="83">
        <v>324</v>
      </c>
      <c r="AM717" s="83" t="s">
        <v>2693</v>
      </c>
      <c r="BK717" s="83">
        <v>9</v>
      </c>
      <c r="BL717" s="83">
        <v>2</v>
      </c>
      <c r="BM717" s="83">
        <v>5</v>
      </c>
      <c r="BN717" s="83">
        <v>5</v>
      </c>
      <c r="BO717" s="83">
        <v>2</v>
      </c>
      <c r="BP717" s="83">
        <v>5</v>
      </c>
      <c r="BQ717" s="83">
        <v>1</v>
      </c>
      <c r="BR717" s="83">
        <v>2</v>
      </c>
      <c r="BS717" s="83">
        <v>1</v>
      </c>
      <c r="BT717" s="83">
        <v>0</v>
      </c>
      <c r="BU717" s="83">
        <v>1</v>
      </c>
      <c r="BV717" s="79">
        <v>0</v>
      </c>
      <c r="BW717" s="83">
        <v>5</v>
      </c>
      <c r="BX717" s="83">
        <v>0</v>
      </c>
      <c r="BY717" s="83">
        <v>1</v>
      </c>
      <c r="BZ717" s="83">
        <v>0</v>
      </c>
      <c r="CA717" s="83">
        <v>1</v>
      </c>
      <c r="CB717" s="83">
        <v>9</v>
      </c>
      <c r="CC717" s="83">
        <v>2</v>
      </c>
      <c r="CD717" s="83">
        <v>0</v>
      </c>
      <c r="CF717" s="83" t="s">
        <v>3978</v>
      </c>
      <c r="CG717" s="83" t="s">
        <v>3979</v>
      </c>
      <c r="CH717" s="83" t="s">
        <v>2693</v>
      </c>
      <c r="CI717" s="83" t="s">
        <v>3992</v>
      </c>
      <c r="CJ717" s="83" t="s">
        <v>2701</v>
      </c>
      <c r="CL717"/>
    </row>
    <row r="718" spans="1:90">
      <c r="A718" s="83" t="s">
        <v>3789</v>
      </c>
      <c r="B718" s="83" t="s">
        <v>736</v>
      </c>
      <c r="D718" s="83" t="s">
        <v>673</v>
      </c>
      <c r="E718" s="83" t="s">
        <v>822</v>
      </c>
      <c r="F718" s="83">
        <v>11964</v>
      </c>
      <c r="G718" s="83" t="s">
        <v>971</v>
      </c>
      <c r="H718" s="83" t="s">
        <v>1201</v>
      </c>
      <c r="I718" s="83" t="s">
        <v>1202</v>
      </c>
      <c r="J718" s="83" t="s">
        <v>1203</v>
      </c>
      <c r="K718" s="83" t="s">
        <v>565</v>
      </c>
      <c r="L718" s="83" t="s">
        <v>398</v>
      </c>
      <c r="M718" s="83" t="s">
        <v>399</v>
      </c>
      <c r="N718" s="83" t="s">
        <v>3152</v>
      </c>
      <c r="O718" s="83" t="s">
        <v>106</v>
      </c>
      <c r="P718" s="83">
        <v>4</v>
      </c>
      <c r="Q718" s="83" t="s">
        <v>106</v>
      </c>
      <c r="R718" s="83" t="s">
        <v>2691</v>
      </c>
      <c r="S718" s="87">
        <v>29586</v>
      </c>
      <c r="T718" s="83" t="s">
        <v>2703</v>
      </c>
      <c r="U718" s="83" t="s">
        <v>401</v>
      </c>
      <c r="AC718" s="83" t="s">
        <v>401</v>
      </c>
      <c r="AD718" s="83">
        <v>39000</v>
      </c>
      <c r="AF718" s="83">
        <v>1000</v>
      </c>
      <c r="AJ718" s="83">
        <v>1</v>
      </c>
      <c r="AK718" s="83">
        <v>1</v>
      </c>
      <c r="AL718" s="83">
        <v>324</v>
      </c>
      <c r="AM718" s="83" t="s">
        <v>2693</v>
      </c>
      <c r="BK718" s="83">
        <v>9</v>
      </c>
      <c r="BL718" s="83">
        <v>2</v>
      </c>
      <c r="BM718" s="83">
        <v>5</v>
      </c>
      <c r="BN718" s="83">
        <v>5</v>
      </c>
      <c r="BO718" s="83">
        <v>2</v>
      </c>
      <c r="BP718" s="83">
        <v>5</v>
      </c>
      <c r="BQ718" s="83">
        <v>1</v>
      </c>
      <c r="BR718" s="83">
        <v>2</v>
      </c>
      <c r="BS718" s="83">
        <v>1</v>
      </c>
      <c r="BT718" s="83">
        <v>0</v>
      </c>
      <c r="BU718" s="83">
        <v>1</v>
      </c>
      <c r="BV718" s="79">
        <v>0</v>
      </c>
      <c r="BW718" s="83">
        <v>5</v>
      </c>
      <c r="BX718" s="83">
        <v>0</v>
      </c>
      <c r="BY718" s="83">
        <v>1</v>
      </c>
      <c r="BZ718" s="83">
        <v>0</v>
      </c>
      <c r="CA718" s="83">
        <v>1</v>
      </c>
      <c r="CB718" s="83">
        <v>9</v>
      </c>
      <c r="CC718" s="83">
        <v>2</v>
      </c>
      <c r="CD718" s="83">
        <v>0</v>
      </c>
      <c r="CF718" s="83" t="s">
        <v>3978</v>
      </c>
      <c r="CG718" s="83" t="s">
        <v>3979</v>
      </c>
      <c r="CH718" s="83" t="s">
        <v>2693</v>
      </c>
      <c r="CI718" s="83" t="s">
        <v>3992</v>
      </c>
      <c r="CJ718" s="83" t="s">
        <v>2701</v>
      </c>
      <c r="CL718"/>
    </row>
    <row r="719" spans="1:90">
      <c r="A719" s="83" t="s">
        <v>2310</v>
      </c>
      <c r="B719" s="83" t="s">
        <v>2659</v>
      </c>
      <c r="D719" s="83" t="s">
        <v>688</v>
      </c>
      <c r="E719" s="83" t="s">
        <v>894</v>
      </c>
      <c r="F719" s="83" t="s">
        <v>3207</v>
      </c>
      <c r="G719" s="83" t="s">
        <v>2311</v>
      </c>
      <c r="H719" s="83" t="s">
        <v>1201</v>
      </c>
      <c r="I719" s="83" t="s">
        <v>1202</v>
      </c>
      <c r="J719" s="83" t="s">
        <v>1203</v>
      </c>
      <c r="K719" s="83" t="s">
        <v>565</v>
      </c>
      <c r="L719" s="83" t="s">
        <v>398</v>
      </c>
      <c r="M719" s="83" t="s">
        <v>399</v>
      </c>
      <c r="N719" s="83" t="s">
        <v>2833</v>
      </c>
      <c r="O719" s="83" t="s">
        <v>106</v>
      </c>
      <c r="P719" s="83">
        <v>4</v>
      </c>
      <c r="Q719" s="83" t="s">
        <v>106</v>
      </c>
      <c r="R719" s="83" t="s">
        <v>2727</v>
      </c>
      <c r="S719" s="83" t="s">
        <v>1446</v>
      </c>
      <c r="T719" s="83" t="s">
        <v>2843</v>
      </c>
      <c r="U719" s="83" t="s">
        <v>401</v>
      </c>
      <c r="AC719" s="83" t="s">
        <v>401</v>
      </c>
      <c r="AD719" s="83">
        <v>208000</v>
      </c>
      <c r="AF719" s="83">
        <v>7000</v>
      </c>
      <c r="AJ719" s="83">
        <v>1</v>
      </c>
      <c r="AK719" s="83">
        <v>2</v>
      </c>
      <c r="AL719" s="83">
        <v>2300</v>
      </c>
      <c r="AM719" s="83" t="s">
        <v>2693</v>
      </c>
      <c r="BK719" s="83" t="s">
        <v>2694</v>
      </c>
      <c r="BL719" s="83" t="s">
        <v>2693</v>
      </c>
      <c r="BM719" s="83" t="s">
        <v>2697</v>
      </c>
      <c r="BN719" s="83" t="s">
        <v>2698</v>
      </c>
      <c r="BO719" s="83" t="s">
        <v>2697</v>
      </c>
      <c r="BP719" s="83" t="s">
        <v>2698</v>
      </c>
      <c r="BQ719" s="83" t="s">
        <v>2699</v>
      </c>
      <c r="BR719" s="83" t="s">
        <v>2693</v>
      </c>
      <c r="BS719" s="83" t="s">
        <v>2699</v>
      </c>
      <c r="BT719" s="83" t="s">
        <v>2696</v>
      </c>
      <c r="BU719" s="83" t="s">
        <v>2699</v>
      </c>
      <c r="BV719" s="83" t="s">
        <v>2696</v>
      </c>
      <c r="BW719" s="83" t="s">
        <v>2698</v>
      </c>
      <c r="BX719" s="83" t="s">
        <v>2696</v>
      </c>
      <c r="BY719" s="83" t="s">
        <v>2699</v>
      </c>
      <c r="BZ719" s="83" t="s">
        <v>2693</v>
      </c>
      <c r="CA719" s="83" t="s">
        <v>2693</v>
      </c>
      <c r="CB719" s="83" t="s">
        <v>2694</v>
      </c>
      <c r="CC719" s="83" t="s">
        <v>2699</v>
      </c>
      <c r="CD719" s="83" t="s">
        <v>2696</v>
      </c>
      <c r="CF719" s="83" t="s">
        <v>3208</v>
      </c>
      <c r="CG719" s="83" t="s">
        <v>3209</v>
      </c>
      <c r="CH719" s="83" t="s">
        <v>2693</v>
      </c>
      <c r="CI719" s="83" t="s">
        <v>3992</v>
      </c>
      <c r="CJ719" s="83" t="s">
        <v>2701</v>
      </c>
      <c r="CK719" s="144">
        <v>3</v>
      </c>
      <c r="CL719" s="99">
        <v>451000</v>
      </c>
    </row>
    <row r="720" spans="1:90">
      <c r="A720" s="83" t="s">
        <v>774</v>
      </c>
      <c r="B720" s="83" t="s">
        <v>2429</v>
      </c>
      <c r="D720" s="83" t="s">
        <v>688</v>
      </c>
      <c r="E720" s="83" t="s">
        <v>775</v>
      </c>
      <c r="F720" s="83" t="s">
        <v>3425</v>
      </c>
      <c r="G720" s="83" t="s">
        <v>1155</v>
      </c>
      <c r="H720" s="83" t="s">
        <v>1201</v>
      </c>
      <c r="I720" s="83" t="s">
        <v>1202</v>
      </c>
      <c r="J720" s="83" t="s">
        <v>1203</v>
      </c>
      <c r="K720" s="83" t="s">
        <v>565</v>
      </c>
      <c r="L720" s="83" t="s">
        <v>398</v>
      </c>
      <c r="M720" s="83" t="s">
        <v>399</v>
      </c>
      <c r="N720" s="83" t="s">
        <v>3057</v>
      </c>
      <c r="O720" s="83" t="s">
        <v>106</v>
      </c>
      <c r="P720" s="83">
        <v>5</v>
      </c>
      <c r="Q720" s="83" t="s">
        <v>106</v>
      </c>
      <c r="R720" s="83" t="s">
        <v>2799</v>
      </c>
      <c r="S720" s="83" t="s">
        <v>2751</v>
      </c>
      <c r="T720" s="83" t="s">
        <v>2703</v>
      </c>
      <c r="U720" s="83" t="s">
        <v>401</v>
      </c>
      <c r="AC720" s="83" t="s">
        <v>401</v>
      </c>
      <c r="AD720" s="83">
        <v>2444000</v>
      </c>
      <c r="AF720" s="83">
        <v>113000</v>
      </c>
      <c r="AJ720" s="83">
        <v>1</v>
      </c>
      <c r="AK720" s="83">
        <v>1</v>
      </c>
      <c r="AL720" s="83">
        <v>12218</v>
      </c>
      <c r="AM720" s="83" t="s">
        <v>2693</v>
      </c>
      <c r="BK720" s="83" t="s">
        <v>2694</v>
      </c>
      <c r="BL720" s="83" t="s">
        <v>2695</v>
      </c>
      <c r="BM720" s="83" t="s">
        <v>2698</v>
      </c>
      <c r="BN720" s="83" t="s">
        <v>2698</v>
      </c>
      <c r="BO720" s="83" t="s">
        <v>2697</v>
      </c>
      <c r="BP720" s="83" t="s">
        <v>2699</v>
      </c>
      <c r="BQ720" s="83" t="s">
        <v>2699</v>
      </c>
      <c r="BR720" s="83" t="s">
        <v>2693</v>
      </c>
      <c r="BS720" s="83" t="s">
        <v>2699</v>
      </c>
      <c r="BT720" s="83" t="s">
        <v>2696</v>
      </c>
      <c r="BU720" s="83" t="s">
        <v>2699</v>
      </c>
      <c r="BV720" s="83" t="s">
        <v>2697</v>
      </c>
      <c r="BW720" s="83" t="s">
        <v>2698</v>
      </c>
      <c r="BX720" s="83" t="s">
        <v>2696</v>
      </c>
      <c r="BY720" s="83" t="s">
        <v>2699</v>
      </c>
      <c r="BZ720" s="83" t="s">
        <v>2699</v>
      </c>
      <c r="CA720" s="83" t="s">
        <v>2693</v>
      </c>
      <c r="CB720" s="83">
        <v>9</v>
      </c>
      <c r="CC720" s="83" t="s">
        <v>2699</v>
      </c>
      <c r="CD720" s="83" t="s">
        <v>2699</v>
      </c>
      <c r="CF720" s="83" t="s">
        <v>776</v>
      </c>
      <c r="CG720" s="83" t="s">
        <v>777</v>
      </c>
      <c r="CH720" s="83" t="s">
        <v>2725</v>
      </c>
      <c r="CI720" s="83" t="s">
        <v>778</v>
      </c>
      <c r="CJ720" s="83" t="s">
        <v>2780</v>
      </c>
      <c r="CK720" s="144">
        <v>0</v>
      </c>
      <c r="CL720"/>
    </row>
    <row r="721" spans="1:90">
      <c r="A721" s="83" t="s">
        <v>823</v>
      </c>
      <c r="B721" s="83" t="s">
        <v>2430</v>
      </c>
      <c r="D721" s="83" t="s">
        <v>688</v>
      </c>
      <c r="E721" s="83" t="s">
        <v>2431</v>
      </c>
      <c r="F721" s="83" t="s">
        <v>3425</v>
      </c>
      <c r="G721" s="83" t="s">
        <v>1155</v>
      </c>
      <c r="H721" s="83" t="s">
        <v>1201</v>
      </c>
      <c r="I721" s="83" t="s">
        <v>1202</v>
      </c>
      <c r="J721" s="83" t="s">
        <v>1203</v>
      </c>
      <c r="K721" s="83" t="s">
        <v>565</v>
      </c>
      <c r="L721" s="83" t="s">
        <v>398</v>
      </c>
      <c r="M721" s="83" t="s">
        <v>399</v>
      </c>
      <c r="N721" s="83" t="s">
        <v>3057</v>
      </c>
      <c r="O721" s="83" t="s">
        <v>106</v>
      </c>
      <c r="P721" s="83">
        <v>1</v>
      </c>
      <c r="Q721" s="83" t="s">
        <v>106</v>
      </c>
      <c r="R721" s="83" t="s">
        <v>2799</v>
      </c>
      <c r="S721" s="83" t="s">
        <v>2714</v>
      </c>
      <c r="T721" s="83" t="s">
        <v>2703</v>
      </c>
      <c r="U721" s="83" t="s">
        <v>401</v>
      </c>
      <c r="AC721" s="83" t="s">
        <v>401</v>
      </c>
      <c r="AD721" s="83">
        <v>129000</v>
      </c>
      <c r="AF721" s="83">
        <v>36000</v>
      </c>
      <c r="AJ721" s="83">
        <v>1</v>
      </c>
      <c r="AK721" s="83">
        <v>1</v>
      </c>
      <c r="AL721" s="83">
        <v>1344</v>
      </c>
      <c r="AM721" s="83" t="s">
        <v>2693</v>
      </c>
      <c r="BK721" s="83" t="s">
        <v>2694</v>
      </c>
      <c r="BL721" s="83" t="s">
        <v>2704</v>
      </c>
      <c r="BM721" s="83" t="s">
        <v>2698</v>
      </c>
      <c r="BN721" s="83" t="s">
        <v>2698</v>
      </c>
      <c r="BO721" s="83" t="s">
        <v>2697</v>
      </c>
      <c r="BP721" s="83" t="s">
        <v>2698</v>
      </c>
      <c r="BQ721" s="83" t="s">
        <v>2699</v>
      </c>
      <c r="BR721" s="83" t="s">
        <v>2693</v>
      </c>
      <c r="BS721" s="83" t="s">
        <v>2699</v>
      </c>
      <c r="BT721" s="83" t="s">
        <v>2696</v>
      </c>
      <c r="BU721" s="83" t="s">
        <v>2699</v>
      </c>
      <c r="BV721" s="83" t="s">
        <v>2697</v>
      </c>
      <c r="BW721" s="83" t="s">
        <v>2697</v>
      </c>
      <c r="BX721" s="83" t="s">
        <v>2696</v>
      </c>
      <c r="BY721" s="83" t="s">
        <v>2699</v>
      </c>
      <c r="BZ721" s="83" t="s">
        <v>2699</v>
      </c>
      <c r="CA721" s="83" t="s">
        <v>2693</v>
      </c>
      <c r="CB721" s="83" t="s">
        <v>2694</v>
      </c>
      <c r="CC721" s="83" t="s">
        <v>2696</v>
      </c>
      <c r="CD721" s="83" t="s">
        <v>2696</v>
      </c>
      <c r="CF721" s="83" t="s">
        <v>824</v>
      </c>
      <c r="CG721" s="83" t="s">
        <v>825</v>
      </c>
      <c r="CH721" s="83" t="s">
        <v>2699</v>
      </c>
      <c r="CI721" s="83" t="s">
        <v>2699</v>
      </c>
      <c r="CJ721" s="83" t="s">
        <v>2734</v>
      </c>
      <c r="CK721" s="144">
        <v>0</v>
      </c>
      <c r="CL721"/>
    </row>
    <row r="722" spans="1:90">
      <c r="A722" s="83" t="s">
        <v>1603</v>
      </c>
      <c r="B722" s="83" t="s">
        <v>1680</v>
      </c>
      <c r="D722" s="83" t="s">
        <v>688</v>
      </c>
      <c r="E722" s="83" t="s">
        <v>1680</v>
      </c>
      <c r="F722" s="83" t="s">
        <v>2831</v>
      </c>
      <c r="G722" s="83" t="s">
        <v>1903</v>
      </c>
      <c r="H722" s="83" t="s">
        <v>1201</v>
      </c>
      <c r="I722" s="83" t="s">
        <v>1202</v>
      </c>
      <c r="J722" s="83" t="s">
        <v>1203</v>
      </c>
      <c r="K722" s="83" t="s">
        <v>565</v>
      </c>
      <c r="L722" s="83" t="s">
        <v>398</v>
      </c>
      <c r="M722" s="83" t="s">
        <v>399</v>
      </c>
      <c r="N722" s="83" t="s">
        <v>2750</v>
      </c>
      <c r="O722" s="83" t="s">
        <v>106</v>
      </c>
      <c r="P722" s="83">
        <v>4</v>
      </c>
      <c r="Q722" s="83" t="s">
        <v>106</v>
      </c>
      <c r="R722" s="83" t="s">
        <v>2691</v>
      </c>
      <c r="S722" s="83" t="s">
        <v>2712</v>
      </c>
      <c r="T722" s="83" t="s">
        <v>2703</v>
      </c>
      <c r="U722" s="83" t="s">
        <v>401</v>
      </c>
      <c r="AC722" s="83" t="s">
        <v>401</v>
      </c>
      <c r="AD722" s="83">
        <v>614000</v>
      </c>
      <c r="AF722" s="83">
        <v>79000</v>
      </c>
      <c r="AJ722" s="83">
        <v>1</v>
      </c>
      <c r="AK722" s="83">
        <v>2</v>
      </c>
      <c r="AL722" s="83">
        <v>8000</v>
      </c>
      <c r="AM722" s="83" t="s">
        <v>2693</v>
      </c>
      <c r="BK722" s="83" t="s">
        <v>2694</v>
      </c>
      <c r="BL722" s="83" t="s">
        <v>2697</v>
      </c>
      <c r="BM722" s="83" t="s">
        <v>2693</v>
      </c>
      <c r="BN722" s="83" t="s">
        <v>2696</v>
      </c>
      <c r="BO722" s="83" t="s">
        <v>2697</v>
      </c>
      <c r="BP722" s="83" t="s">
        <v>2697</v>
      </c>
      <c r="BQ722" s="83" t="s">
        <v>2699</v>
      </c>
      <c r="BR722" s="83" t="s">
        <v>2693</v>
      </c>
      <c r="BS722" s="83" t="s">
        <v>2699</v>
      </c>
      <c r="BT722" s="83">
        <v>0</v>
      </c>
      <c r="BU722" s="83" t="s">
        <v>2699</v>
      </c>
      <c r="BV722" s="83" t="s">
        <v>2696</v>
      </c>
      <c r="BW722" s="83" t="s">
        <v>2698</v>
      </c>
      <c r="BX722" s="83" t="s">
        <v>2696</v>
      </c>
      <c r="BY722" s="83" t="s">
        <v>2699</v>
      </c>
      <c r="BZ722" s="83" t="s">
        <v>2699</v>
      </c>
      <c r="CA722" s="83" t="s">
        <v>2693</v>
      </c>
      <c r="CB722" s="83" t="s">
        <v>2694</v>
      </c>
      <c r="CC722" s="83" t="s">
        <v>2699</v>
      </c>
      <c r="CD722" s="83" t="s">
        <v>2696</v>
      </c>
      <c r="CF722" s="83" t="s">
        <v>2115</v>
      </c>
      <c r="CG722" s="83" t="s">
        <v>2116</v>
      </c>
      <c r="CH722" s="83" t="s">
        <v>2693</v>
      </c>
      <c r="CI722" s="83" t="s">
        <v>2693</v>
      </c>
      <c r="CJ722" s="83" t="s">
        <v>2701</v>
      </c>
      <c r="CK722" s="144">
        <v>1</v>
      </c>
      <c r="CL722" s="99">
        <v>121000</v>
      </c>
    </row>
    <row r="723" spans="1:90">
      <c r="A723" s="83" t="s">
        <v>1476</v>
      </c>
      <c r="B723" s="83" t="s">
        <v>754</v>
      </c>
      <c r="D723" s="83" t="s">
        <v>688</v>
      </c>
      <c r="E723" s="83" t="s">
        <v>754</v>
      </c>
      <c r="F723" s="83" t="s">
        <v>1796</v>
      </c>
      <c r="G723" s="83" t="s">
        <v>1904</v>
      </c>
      <c r="H723" s="83" t="s">
        <v>1201</v>
      </c>
      <c r="I723" s="83" t="s">
        <v>1202</v>
      </c>
      <c r="J723" s="83" t="s">
        <v>1203</v>
      </c>
      <c r="K723" s="83" t="s">
        <v>565</v>
      </c>
      <c r="L723" s="83" t="s">
        <v>398</v>
      </c>
      <c r="M723" s="83" t="s">
        <v>399</v>
      </c>
      <c r="N723" s="83" t="s">
        <v>2711</v>
      </c>
      <c r="O723" s="83" t="s">
        <v>106</v>
      </c>
      <c r="P723" s="83">
        <v>8</v>
      </c>
      <c r="Q723" s="83" t="s">
        <v>106</v>
      </c>
      <c r="R723" s="83" t="s">
        <v>2753</v>
      </c>
      <c r="S723" s="83" t="s">
        <v>2830</v>
      </c>
      <c r="T723" s="83" t="s">
        <v>2703</v>
      </c>
      <c r="U723" s="83" t="s">
        <v>401</v>
      </c>
      <c r="AC723" s="83" t="s">
        <v>401</v>
      </c>
      <c r="AD723" s="83">
        <v>1469000</v>
      </c>
      <c r="AF723" s="83">
        <v>326000</v>
      </c>
      <c r="AJ723" s="83">
        <v>1</v>
      </c>
      <c r="AK723" s="83">
        <v>1</v>
      </c>
      <c r="AL723" s="83">
        <v>10792</v>
      </c>
      <c r="AM723" s="83" t="s">
        <v>2693</v>
      </c>
      <c r="BK723" s="83" t="s">
        <v>2694</v>
      </c>
      <c r="BL723" s="83" t="s">
        <v>2704</v>
      </c>
      <c r="BM723" s="83" t="s">
        <v>2697</v>
      </c>
      <c r="BN723" s="83" t="s">
        <v>2699</v>
      </c>
      <c r="BO723" s="83" t="s">
        <v>2693</v>
      </c>
      <c r="BP723" s="83" t="s">
        <v>2695</v>
      </c>
      <c r="BQ723" s="83" t="s">
        <v>2699</v>
      </c>
      <c r="BR723" s="83" t="s">
        <v>2693</v>
      </c>
      <c r="BS723" s="83" t="s">
        <v>2699</v>
      </c>
      <c r="BT723" s="83">
        <v>0</v>
      </c>
      <c r="BU723" s="83" t="s">
        <v>2699</v>
      </c>
      <c r="BV723" s="83" t="s">
        <v>2696</v>
      </c>
      <c r="BW723" s="83" t="s">
        <v>2698</v>
      </c>
      <c r="BX723" s="83" t="s">
        <v>2696</v>
      </c>
      <c r="BY723" s="83" t="s">
        <v>2699</v>
      </c>
      <c r="BZ723" s="83" t="s">
        <v>2699</v>
      </c>
      <c r="CA723" s="83" t="s">
        <v>2693</v>
      </c>
      <c r="CB723" s="83" t="s">
        <v>2694</v>
      </c>
      <c r="CC723" s="83" t="s">
        <v>2696</v>
      </c>
      <c r="CD723" s="83" t="s">
        <v>2699</v>
      </c>
      <c r="CF723" s="83" t="s">
        <v>2232</v>
      </c>
      <c r="CG723" s="83" t="s">
        <v>2233</v>
      </c>
      <c r="CH723" s="83" t="s">
        <v>2695</v>
      </c>
      <c r="CI723" s="83" t="s">
        <v>648</v>
      </c>
      <c r="CJ723" s="83" t="s">
        <v>2731</v>
      </c>
      <c r="CK723" s="144">
        <v>0</v>
      </c>
      <c r="CL723" s="99">
        <v>44000</v>
      </c>
    </row>
    <row r="724" spans="1:90">
      <c r="A724" s="83" t="s">
        <v>539</v>
      </c>
      <c r="B724" s="83" t="s">
        <v>562</v>
      </c>
      <c r="D724" s="83" t="s">
        <v>688</v>
      </c>
      <c r="E724" s="83" t="s">
        <v>562</v>
      </c>
      <c r="F724" s="83" t="s">
        <v>1797</v>
      </c>
      <c r="G724" s="83" t="s">
        <v>1195</v>
      </c>
      <c r="H724" s="83" t="s">
        <v>566</v>
      </c>
      <c r="I724" s="83" t="s">
        <v>567</v>
      </c>
      <c r="J724" s="83" t="s">
        <v>564</v>
      </c>
      <c r="K724" s="83" t="s">
        <v>565</v>
      </c>
      <c r="L724" s="83" t="s">
        <v>398</v>
      </c>
      <c r="M724" s="83" t="s">
        <v>399</v>
      </c>
      <c r="N724" s="83" t="s">
        <v>3277</v>
      </c>
      <c r="O724" s="83" t="s">
        <v>106</v>
      </c>
      <c r="P724" s="83">
        <v>8</v>
      </c>
      <c r="Q724" s="83" t="s">
        <v>106</v>
      </c>
      <c r="R724" s="83" t="s">
        <v>2753</v>
      </c>
      <c r="S724" s="83" t="s">
        <v>2804</v>
      </c>
      <c r="T724" s="83" t="s">
        <v>2703</v>
      </c>
      <c r="U724" s="83" t="s">
        <v>401</v>
      </c>
      <c r="AC724" s="83" t="s">
        <v>401</v>
      </c>
      <c r="AD724" s="83">
        <v>1580000</v>
      </c>
      <c r="AF724" s="83">
        <v>97000</v>
      </c>
      <c r="AJ724" s="83">
        <v>1</v>
      </c>
      <c r="AK724" s="83">
        <v>1</v>
      </c>
      <c r="AL724" s="83">
        <v>11557</v>
      </c>
      <c r="AM724" s="83" t="s">
        <v>2693</v>
      </c>
      <c r="BK724" s="83" t="s">
        <v>2694</v>
      </c>
      <c r="BL724" s="83" t="s">
        <v>2693</v>
      </c>
      <c r="BM724" s="83" t="s">
        <v>2697</v>
      </c>
      <c r="BN724" s="83" t="s">
        <v>2698</v>
      </c>
      <c r="BO724" s="83" t="s">
        <v>2699</v>
      </c>
      <c r="BP724" s="83" t="s">
        <v>2697</v>
      </c>
      <c r="BQ724" s="83" t="s">
        <v>2699</v>
      </c>
      <c r="BR724" s="83" t="s">
        <v>2693</v>
      </c>
      <c r="BS724" s="83" t="s">
        <v>2699</v>
      </c>
      <c r="BT724" s="83" t="s">
        <v>2696</v>
      </c>
      <c r="BU724" s="83" t="s">
        <v>2699</v>
      </c>
      <c r="BV724" s="83" t="s">
        <v>2697</v>
      </c>
      <c r="BW724" s="83" t="s">
        <v>2698</v>
      </c>
      <c r="BX724" s="83" t="s">
        <v>2696</v>
      </c>
      <c r="BY724" s="83" t="s">
        <v>2699</v>
      </c>
      <c r="BZ724" s="83" t="s">
        <v>2699</v>
      </c>
      <c r="CA724" s="83" t="s">
        <v>2693</v>
      </c>
      <c r="CB724" s="83" t="s">
        <v>2694</v>
      </c>
      <c r="CC724" s="83" t="s">
        <v>2699</v>
      </c>
      <c r="CD724" s="83" t="s">
        <v>2699</v>
      </c>
      <c r="CF724" s="83" t="s">
        <v>2007</v>
      </c>
      <c r="CG724" s="83" t="s">
        <v>2008</v>
      </c>
      <c r="CH724" s="83" t="s">
        <v>2695</v>
      </c>
      <c r="CI724" s="83" t="s">
        <v>648</v>
      </c>
      <c r="CJ724" s="83" t="s">
        <v>2780</v>
      </c>
      <c r="CK724" s="144">
        <v>0</v>
      </c>
      <c r="CL724" s="99">
        <v>69000</v>
      </c>
    </row>
    <row r="725" spans="1:90">
      <c r="A725" s="79" t="s">
        <v>2452</v>
      </c>
      <c r="B725" s="79" t="s">
        <v>970</v>
      </c>
      <c r="C725" s="79"/>
      <c r="D725" s="79" t="s">
        <v>688</v>
      </c>
      <c r="E725" s="79" t="s">
        <v>970</v>
      </c>
      <c r="F725" s="79" t="s">
        <v>3681</v>
      </c>
      <c r="G725" s="79" t="s">
        <v>2453</v>
      </c>
      <c r="H725" s="79" t="s">
        <v>1201</v>
      </c>
      <c r="I725" s="79" t="s">
        <v>1202</v>
      </c>
      <c r="J725" s="79" t="s">
        <v>1203</v>
      </c>
      <c r="K725" s="79" t="s">
        <v>565</v>
      </c>
      <c r="L725" s="79" t="s">
        <v>398</v>
      </c>
      <c r="M725" s="79" t="s">
        <v>399</v>
      </c>
      <c r="N725" s="79" t="s">
        <v>1909</v>
      </c>
      <c r="O725" s="79" t="s">
        <v>106</v>
      </c>
      <c r="P725" s="79">
        <v>4</v>
      </c>
      <c r="Q725" s="79" t="s">
        <v>106</v>
      </c>
      <c r="R725" s="79" t="s">
        <v>2799</v>
      </c>
      <c r="S725" s="79" t="s">
        <v>3054</v>
      </c>
      <c r="T725" s="79" t="s">
        <v>2804</v>
      </c>
      <c r="U725" s="79" t="s">
        <v>401</v>
      </c>
      <c r="AC725" s="79" t="s">
        <v>401</v>
      </c>
      <c r="AD725" s="79">
        <v>1048000</v>
      </c>
      <c r="AE725" s="79"/>
      <c r="AF725" s="79">
        <v>270000</v>
      </c>
      <c r="AG725" s="79"/>
      <c r="AH725" s="79"/>
      <c r="AI725" s="79"/>
      <c r="AJ725" s="79">
        <v>1</v>
      </c>
      <c r="AK725" s="79">
        <v>1</v>
      </c>
      <c r="AL725" s="79">
        <v>8934</v>
      </c>
      <c r="AM725" s="79" t="s">
        <v>2693</v>
      </c>
      <c r="AN725" s="79"/>
      <c r="AO725" s="79"/>
      <c r="AP725" s="79"/>
      <c r="AQ725" s="79"/>
      <c r="AR725" s="79"/>
      <c r="AS725" s="79"/>
      <c r="AT725" s="79"/>
      <c r="AU725" s="79"/>
      <c r="AV725" s="79"/>
      <c r="AW725" s="79"/>
      <c r="AX725" s="79"/>
      <c r="AY725" s="79"/>
      <c r="AZ725" s="79"/>
      <c r="BA725" s="79"/>
      <c r="BB725" s="79"/>
      <c r="BC725" s="79"/>
      <c r="BD725" s="79"/>
      <c r="BE725" s="79"/>
      <c r="BF725" s="79"/>
      <c r="BG725" s="79"/>
      <c r="BH725" s="79"/>
      <c r="BI725" s="79"/>
      <c r="BJ725" s="79"/>
      <c r="BK725" s="79" t="s">
        <v>2694</v>
      </c>
      <c r="BL725" s="79" t="s">
        <v>2704</v>
      </c>
      <c r="BM725" s="79" t="s">
        <v>2697</v>
      </c>
      <c r="BN725" s="79" t="s">
        <v>2696</v>
      </c>
      <c r="BO725" s="79" t="s">
        <v>2697</v>
      </c>
      <c r="BP725" s="79" t="s">
        <v>2698</v>
      </c>
      <c r="BQ725" s="79" t="s">
        <v>2699</v>
      </c>
      <c r="BR725" s="79" t="s">
        <v>2693</v>
      </c>
      <c r="BS725" s="79" t="s">
        <v>2699</v>
      </c>
      <c r="BT725" s="79" t="s">
        <v>2696</v>
      </c>
      <c r="BU725" s="79">
        <v>1</v>
      </c>
      <c r="BV725" s="79" t="s">
        <v>2696</v>
      </c>
      <c r="BW725" s="79" t="s">
        <v>2698</v>
      </c>
      <c r="BX725" s="79" t="s">
        <v>2696</v>
      </c>
      <c r="BY725" s="79" t="s">
        <v>2699</v>
      </c>
      <c r="BZ725" s="79" t="s">
        <v>2693</v>
      </c>
      <c r="CA725" s="79" t="s">
        <v>2699</v>
      </c>
      <c r="CB725" s="79">
        <v>9</v>
      </c>
      <c r="CC725" s="79" t="s">
        <v>2699</v>
      </c>
      <c r="CD725" s="79" t="s">
        <v>2699</v>
      </c>
      <c r="CE725" s="79"/>
      <c r="CF725" s="81" t="s">
        <v>4118</v>
      </c>
      <c r="CG725" s="81" t="s">
        <v>4119</v>
      </c>
      <c r="CH725" s="79" t="s">
        <v>2693</v>
      </c>
      <c r="CI725" s="79" t="s">
        <v>2076</v>
      </c>
      <c r="CJ725" s="79" t="s">
        <v>2701</v>
      </c>
      <c r="CK725" s="145">
        <v>0</v>
      </c>
      <c r="CL725" s="99">
        <v>11000</v>
      </c>
    </row>
    <row r="726" spans="1:90">
      <c r="A726" s="79" t="s">
        <v>2454</v>
      </c>
      <c r="B726" s="79" t="s">
        <v>4120</v>
      </c>
      <c r="C726" s="79"/>
      <c r="D726" s="79" t="s">
        <v>688</v>
      </c>
      <c r="E726" s="79" t="s">
        <v>4120</v>
      </c>
      <c r="F726" s="79" t="s">
        <v>3235</v>
      </c>
      <c r="G726" s="79" t="s">
        <v>1192</v>
      </c>
      <c r="H726" s="79" t="s">
        <v>1201</v>
      </c>
      <c r="I726" s="79" t="s">
        <v>1202</v>
      </c>
      <c r="J726" s="79" t="s">
        <v>1203</v>
      </c>
      <c r="K726" s="79" t="s">
        <v>565</v>
      </c>
      <c r="L726" s="79" t="s">
        <v>398</v>
      </c>
      <c r="M726" s="79" t="s">
        <v>399</v>
      </c>
      <c r="N726" s="79" t="s">
        <v>3228</v>
      </c>
      <c r="O726" s="79" t="s">
        <v>106</v>
      </c>
      <c r="P726" s="79">
        <v>5</v>
      </c>
      <c r="Q726" s="79" t="s">
        <v>106</v>
      </c>
      <c r="R726" s="79" t="s">
        <v>2799</v>
      </c>
      <c r="S726" s="79" t="s">
        <v>1461</v>
      </c>
      <c r="T726" s="79" t="s">
        <v>2703</v>
      </c>
      <c r="U726" s="79" t="s">
        <v>401</v>
      </c>
      <c r="AC726" s="79" t="s">
        <v>401</v>
      </c>
      <c r="AD726" s="79">
        <v>1755000</v>
      </c>
      <c r="AE726" s="79"/>
      <c r="AF726" s="79">
        <v>271000</v>
      </c>
      <c r="AG726" s="79"/>
      <c r="AH726" s="79"/>
      <c r="AI726" s="79"/>
      <c r="AJ726" s="79">
        <v>1</v>
      </c>
      <c r="AK726" s="79">
        <v>2</v>
      </c>
      <c r="AL726" s="79">
        <v>8970</v>
      </c>
      <c r="AM726" s="79" t="s">
        <v>2693</v>
      </c>
      <c r="AN726" s="79"/>
      <c r="AO726" s="79"/>
      <c r="AP726" s="79"/>
      <c r="AQ726" s="79"/>
      <c r="AR726" s="79"/>
      <c r="AS726" s="79"/>
      <c r="AT726" s="79"/>
      <c r="AU726" s="79"/>
      <c r="AV726" s="79"/>
      <c r="AW726" s="79"/>
      <c r="AX726" s="79"/>
      <c r="AY726" s="79"/>
      <c r="AZ726" s="79"/>
      <c r="BA726" s="79"/>
      <c r="BB726" s="79"/>
      <c r="BC726" s="79"/>
      <c r="BD726" s="79"/>
      <c r="BE726" s="79"/>
      <c r="BF726" s="79"/>
      <c r="BG726" s="79"/>
      <c r="BH726" s="79"/>
      <c r="BI726" s="79"/>
      <c r="BJ726" s="79"/>
      <c r="BK726" s="79" t="s">
        <v>2694</v>
      </c>
      <c r="BL726" s="79" t="s">
        <v>2697</v>
      </c>
      <c r="BM726" s="79" t="s">
        <v>2698</v>
      </c>
      <c r="BN726" s="79" t="s">
        <v>2698</v>
      </c>
      <c r="BO726" s="79" t="s">
        <v>2699</v>
      </c>
      <c r="BP726" s="79" t="s">
        <v>2693</v>
      </c>
      <c r="BQ726" s="79" t="s">
        <v>2699</v>
      </c>
      <c r="BR726" s="79" t="s">
        <v>2699</v>
      </c>
      <c r="BS726" s="79" t="s">
        <v>2699</v>
      </c>
      <c r="BT726" s="79" t="s">
        <v>2696</v>
      </c>
      <c r="BU726" s="79">
        <v>1</v>
      </c>
      <c r="BV726" s="79" t="s">
        <v>2696</v>
      </c>
      <c r="BW726" s="79" t="s">
        <v>2698</v>
      </c>
      <c r="BX726" s="79" t="s">
        <v>2696</v>
      </c>
      <c r="BY726" s="79" t="s">
        <v>2699</v>
      </c>
      <c r="BZ726" s="79" t="s">
        <v>2699</v>
      </c>
      <c r="CA726" s="79" t="s">
        <v>2693</v>
      </c>
      <c r="CB726" s="79">
        <v>9</v>
      </c>
      <c r="CC726" s="79" t="s">
        <v>2699</v>
      </c>
      <c r="CD726" s="79" t="s">
        <v>2699</v>
      </c>
      <c r="CE726" s="79"/>
      <c r="CF726" s="81" t="s">
        <v>4121</v>
      </c>
      <c r="CG726" s="81" t="s">
        <v>4122</v>
      </c>
      <c r="CH726" s="79" t="s">
        <v>2725</v>
      </c>
      <c r="CI726" s="79" t="s">
        <v>778</v>
      </c>
      <c r="CJ726" s="79" t="s">
        <v>2780</v>
      </c>
      <c r="CK726" s="145">
        <v>1</v>
      </c>
      <c r="CL726" s="99">
        <v>80000</v>
      </c>
    </row>
    <row r="727" spans="1:90">
      <c r="A727" s="83" t="s">
        <v>1035</v>
      </c>
      <c r="B727" s="83" t="s">
        <v>1036</v>
      </c>
      <c r="D727" s="83" t="s">
        <v>688</v>
      </c>
      <c r="E727" s="83" t="s">
        <v>1036</v>
      </c>
      <c r="F727" s="83" t="s">
        <v>3553</v>
      </c>
      <c r="G727" s="83" t="s">
        <v>1196</v>
      </c>
      <c r="H727" s="83" t="s">
        <v>1201</v>
      </c>
      <c r="I727" s="83" t="s">
        <v>1202</v>
      </c>
      <c r="J727" s="83" t="s">
        <v>1203</v>
      </c>
      <c r="K727" s="83" t="s">
        <v>565</v>
      </c>
      <c r="L727" s="83" t="s">
        <v>398</v>
      </c>
      <c r="M727" s="83" t="s">
        <v>399</v>
      </c>
      <c r="N727" s="83" t="s">
        <v>2833</v>
      </c>
      <c r="O727" s="83" t="s">
        <v>106</v>
      </c>
      <c r="P727" s="83">
        <v>4</v>
      </c>
      <c r="Q727" s="83" t="s">
        <v>106</v>
      </c>
      <c r="R727" s="83" t="s">
        <v>2753</v>
      </c>
      <c r="S727" s="83" t="s">
        <v>2804</v>
      </c>
      <c r="T727" s="83" t="s">
        <v>2703</v>
      </c>
      <c r="U727" s="83" t="s">
        <v>401</v>
      </c>
      <c r="AC727" s="83" t="s">
        <v>401</v>
      </c>
      <c r="AD727" s="83">
        <v>1104000</v>
      </c>
      <c r="AF727" s="83">
        <v>79000</v>
      </c>
      <c r="AJ727" s="83">
        <v>1</v>
      </c>
      <c r="AK727" s="83">
        <v>1</v>
      </c>
      <c r="AL727" s="83">
        <v>9438</v>
      </c>
      <c r="AM727" s="83" t="s">
        <v>2693</v>
      </c>
      <c r="BK727" s="83" t="s">
        <v>2694</v>
      </c>
      <c r="BL727" s="83" t="s">
        <v>2704</v>
      </c>
      <c r="BM727" s="83" t="s">
        <v>2697</v>
      </c>
      <c r="BN727" s="83" t="s">
        <v>2698</v>
      </c>
      <c r="BO727" s="83" t="s">
        <v>2699</v>
      </c>
      <c r="BP727" s="83" t="s">
        <v>2695</v>
      </c>
      <c r="BQ727" s="83" t="s">
        <v>2699</v>
      </c>
      <c r="BR727" s="83" t="s">
        <v>2693</v>
      </c>
      <c r="BS727" s="83" t="s">
        <v>2699</v>
      </c>
      <c r="BT727" s="83" t="s">
        <v>2696</v>
      </c>
      <c r="BU727" s="83" t="s">
        <v>2699</v>
      </c>
      <c r="BV727" s="83" t="s">
        <v>2699</v>
      </c>
      <c r="BW727" s="83" t="s">
        <v>2698</v>
      </c>
      <c r="BX727" s="83" t="s">
        <v>2696</v>
      </c>
      <c r="BY727" s="83" t="s">
        <v>2699</v>
      </c>
      <c r="BZ727" s="83" t="s">
        <v>2699</v>
      </c>
      <c r="CA727" s="83" t="s">
        <v>2693</v>
      </c>
      <c r="CB727" s="83" t="s">
        <v>2694</v>
      </c>
      <c r="CC727" s="83" t="s">
        <v>2696</v>
      </c>
      <c r="CD727" s="83" t="s">
        <v>2699</v>
      </c>
      <c r="CF727" s="83" t="s">
        <v>1037</v>
      </c>
      <c r="CG727" s="83" t="s">
        <v>1038</v>
      </c>
      <c r="CH727" s="83" t="s">
        <v>2693</v>
      </c>
      <c r="CI727" s="83" t="s">
        <v>3992</v>
      </c>
      <c r="CJ727" s="83" t="s">
        <v>2701</v>
      </c>
      <c r="CK727" s="144">
        <v>1</v>
      </c>
      <c r="CL727" s="99">
        <v>33000</v>
      </c>
    </row>
    <row r="728" spans="1:90">
      <c r="A728" s="83" t="s">
        <v>537</v>
      </c>
      <c r="B728" s="83" t="s">
        <v>2343</v>
      </c>
      <c r="D728" s="83" t="s">
        <v>688</v>
      </c>
      <c r="E728" s="83" t="s">
        <v>2343</v>
      </c>
      <c r="F728" s="83" t="s">
        <v>3369</v>
      </c>
      <c r="G728" s="83" t="s">
        <v>1197</v>
      </c>
      <c r="H728" s="83" t="s">
        <v>566</v>
      </c>
      <c r="I728" s="83" t="s">
        <v>567</v>
      </c>
      <c r="J728" s="83" t="s">
        <v>564</v>
      </c>
      <c r="K728" s="83" t="s">
        <v>565</v>
      </c>
      <c r="L728" s="83" t="s">
        <v>398</v>
      </c>
      <c r="M728" s="83" t="s">
        <v>399</v>
      </c>
      <c r="N728" s="83" t="s">
        <v>2752</v>
      </c>
      <c r="O728" s="83" t="s">
        <v>106</v>
      </c>
      <c r="P728" s="83">
        <v>5</v>
      </c>
      <c r="Q728" s="83" t="s">
        <v>106</v>
      </c>
      <c r="R728" s="83" t="s">
        <v>2730</v>
      </c>
      <c r="S728" s="83" t="s">
        <v>1445</v>
      </c>
      <c r="T728" s="83" t="s">
        <v>2703</v>
      </c>
      <c r="U728" s="83" t="s">
        <v>401</v>
      </c>
      <c r="AC728" s="83" t="s">
        <v>401</v>
      </c>
      <c r="AD728" s="83">
        <v>13934000</v>
      </c>
      <c r="AF728" s="83">
        <v>662000</v>
      </c>
      <c r="AJ728" s="83">
        <v>1</v>
      </c>
      <c r="AK728" s="83">
        <v>6</v>
      </c>
      <c r="AL728" s="83">
        <v>63896</v>
      </c>
      <c r="AM728" s="83" t="s">
        <v>2693</v>
      </c>
      <c r="BK728" s="83" t="s">
        <v>2694</v>
      </c>
      <c r="BL728" s="83" t="s">
        <v>2697</v>
      </c>
      <c r="BM728" s="83" t="s">
        <v>2699</v>
      </c>
      <c r="BN728" s="83" t="s">
        <v>2698</v>
      </c>
      <c r="BO728" s="83" t="s">
        <v>2699</v>
      </c>
      <c r="BP728" s="83" t="s">
        <v>2699</v>
      </c>
      <c r="BQ728" s="83" t="s">
        <v>2699</v>
      </c>
      <c r="BR728" s="83" t="s">
        <v>2699</v>
      </c>
      <c r="BS728" s="83" t="s">
        <v>2699</v>
      </c>
      <c r="BT728" s="83" t="s">
        <v>2696</v>
      </c>
      <c r="BU728" s="83" t="s">
        <v>2699</v>
      </c>
      <c r="BV728" s="83" t="s">
        <v>2697</v>
      </c>
      <c r="BW728" s="83" t="s">
        <v>2698</v>
      </c>
      <c r="BX728" s="83" t="s">
        <v>2696</v>
      </c>
      <c r="BY728" s="83" t="s">
        <v>2699</v>
      </c>
      <c r="BZ728" s="83" t="s">
        <v>2699</v>
      </c>
      <c r="CA728" s="83" t="s">
        <v>2693</v>
      </c>
      <c r="CB728" s="83" t="s">
        <v>2694</v>
      </c>
      <c r="CC728" s="83" t="s">
        <v>2699</v>
      </c>
      <c r="CD728" s="83" t="s">
        <v>2699</v>
      </c>
      <c r="CF728" s="83" t="s">
        <v>570</v>
      </c>
      <c r="CG728" s="83" t="s">
        <v>571</v>
      </c>
      <c r="CH728" s="83" t="s">
        <v>2725</v>
      </c>
      <c r="CI728" s="83" t="s">
        <v>1358</v>
      </c>
      <c r="CJ728" s="83" t="s">
        <v>2726</v>
      </c>
      <c r="CK728" s="144">
        <v>0</v>
      </c>
      <c r="CL728"/>
    </row>
    <row r="729" spans="1:90">
      <c r="A729" s="83" t="s">
        <v>3790</v>
      </c>
      <c r="B729" s="83" t="s">
        <v>2463</v>
      </c>
      <c r="D729" s="83" t="s">
        <v>688</v>
      </c>
      <c r="E729" s="83" t="s">
        <v>2463</v>
      </c>
      <c r="F729" s="83">
        <v>500</v>
      </c>
      <c r="G729" s="83" t="s">
        <v>3876</v>
      </c>
      <c r="H729" s="83" t="s">
        <v>1201</v>
      </c>
      <c r="I729" s="83" t="s">
        <v>1202</v>
      </c>
      <c r="J729" s="83" t="s">
        <v>1203</v>
      </c>
      <c r="K729" s="83" t="s">
        <v>565</v>
      </c>
      <c r="L729" s="83" t="s">
        <v>398</v>
      </c>
      <c r="M729" s="83" t="s">
        <v>399</v>
      </c>
      <c r="N729" s="83" t="s">
        <v>3699</v>
      </c>
      <c r="O729" s="83" t="s">
        <v>106</v>
      </c>
      <c r="P729" s="83">
        <v>4</v>
      </c>
      <c r="Q729" s="83" t="s">
        <v>106</v>
      </c>
      <c r="R729" s="83">
        <v>24</v>
      </c>
      <c r="S729" s="87">
        <v>29586</v>
      </c>
      <c r="T729" s="83" t="s">
        <v>2703</v>
      </c>
      <c r="U729" s="83" t="s">
        <v>401</v>
      </c>
      <c r="AC729" s="83" t="s">
        <v>401</v>
      </c>
      <c r="AD729" s="83">
        <v>338000</v>
      </c>
      <c r="AF729" s="83">
        <v>81000</v>
      </c>
      <c r="AJ729" s="83">
        <v>1</v>
      </c>
      <c r="AK729" s="83">
        <v>1</v>
      </c>
      <c r="AL729" s="83">
        <v>8900</v>
      </c>
      <c r="AM729" s="83" t="s">
        <v>2693</v>
      </c>
      <c r="BK729" s="83">
        <v>9</v>
      </c>
      <c r="BL729" s="83">
        <v>7</v>
      </c>
      <c r="BM729" s="83">
        <v>5</v>
      </c>
      <c r="BN729" s="83">
        <v>5</v>
      </c>
      <c r="BO729" s="83">
        <v>2</v>
      </c>
      <c r="BP729" s="83">
        <v>5</v>
      </c>
      <c r="BQ729" s="83">
        <v>1</v>
      </c>
      <c r="BR729" s="83">
        <v>2</v>
      </c>
      <c r="BS729" s="83">
        <v>1</v>
      </c>
      <c r="BT729" s="83">
        <v>0</v>
      </c>
      <c r="BU729" s="83">
        <v>1</v>
      </c>
      <c r="BV729" s="79">
        <v>0</v>
      </c>
      <c r="BW729" s="83">
        <v>5</v>
      </c>
      <c r="BX729" s="83">
        <v>0</v>
      </c>
      <c r="BY729" s="83">
        <v>1</v>
      </c>
      <c r="BZ729" s="83">
        <v>0</v>
      </c>
      <c r="CA729" s="83">
        <v>1</v>
      </c>
      <c r="CB729" s="83">
        <v>9</v>
      </c>
      <c r="CC729" s="83">
        <v>1</v>
      </c>
      <c r="CD729" s="83">
        <v>0</v>
      </c>
      <c r="CF729" s="83" t="s">
        <v>2469</v>
      </c>
      <c r="CG729" s="83" t="s">
        <v>2470</v>
      </c>
      <c r="CH729" s="83" t="s">
        <v>2693</v>
      </c>
      <c r="CI729" s="83" t="s">
        <v>3992</v>
      </c>
      <c r="CJ729" s="83" t="s">
        <v>2701</v>
      </c>
      <c r="CL729"/>
    </row>
    <row r="730" spans="1:90">
      <c r="A730" s="83" t="s">
        <v>1475</v>
      </c>
      <c r="B730" s="83" t="s">
        <v>979</v>
      </c>
      <c r="D730" s="83" t="s">
        <v>688</v>
      </c>
      <c r="E730" s="83" t="s">
        <v>894</v>
      </c>
      <c r="F730" s="83" t="s">
        <v>1798</v>
      </c>
      <c r="G730" s="83" t="s">
        <v>1905</v>
      </c>
      <c r="H730" s="83" t="s">
        <v>1201</v>
      </c>
      <c r="I730" s="83" t="s">
        <v>1202</v>
      </c>
      <c r="J730" s="83" t="s">
        <v>1203</v>
      </c>
      <c r="K730" s="83" t="s">
        <v>565</v>
      </c>
      <c r="L730" s="83" t="s">
        <v>398</v>
      </c>
      <c r="M730" s="83" t="s">
        <v>399</v>
      </c>
      <c r="N730" s="83" t="s">
        <v>2832</v>
      </c>
      <c r="O730" s="83" t="s">
        <v>106</v>
      </c>
      <c r="P730" s="83">
        <v>4</v>
      </c>
      <c r="Q730" s="83" t="s">
        <v>106</v>
      </c>
      <c r="R730" s="83" t="s">
        <v>2691</v>
      </c>
      <c r="S730" s="83" t="s">
        <v>1463</v>
      </c>
      <c r="T730" s="83" t="s">
        <v>2703</v>
      </c>
      <c r="U730" s="83" t="s">
        <v>401</v>
      </c>
      <c r="AC730" s="83" t="s">
        <v>401</v>
      </c>
      <c r="AD730" s="83">
        <v>178000</v>
      </c>
      <c r="AF730" s="83">
        <v>0</v>
      </c>
      <c r="AJ730" s="83">
        <v>1</v>
      </c>
      <c r="AK730" s="83">
        <v>1</v>
      </c>
      <c r="AL730" s="83">
        <v>1280</v>
      </c>
      <c r="AM730" s="83" t="s">
        <v>2693</v>
      </c>
      <c r="BK730" s="83" t="s">
        <v>2694</v>
      </c>
      <c r="BL730" s="83" t="s">
        <v>2699</v>
      </c>
      <c r="BM730" s="83" t="s">
        <v>2697</v>
      </c>
      <c r="BN730" s="83" t="s">
        <v>2693</v>
      </c>
      <c r="BO730" s="83" t="s">
        <v>2697</v>
      </c>
      <c r="BP730" s="83" t="s">
        <v>2695</v>
      </c>
      <c r="BQ730" s="83" t="s">
        <v>2699</v>
      </c>
      <c r="BR730" s="83" t="s">
        <v>2693</v>
      </c>
      <c r="BS730" s="83" t="s">
        <v>2699</v>
      </c>
      <c r="BT730" s="83">
        <v>0</v>
      </c>
      <c r="BU730" s="83" t="s">
        <v>2699</v>
      </c>
      <c r="BV730" s="83" t="s">
        <v>2696</v>
      </c>
      <c r="BW730" s="83" t="s">
        <v>2698</v>
      </c>
      <c r="BX730" s="83" t="s">
        <v>2696</v>
      </c>
      <c r="BY730" s="83" t="s">
        <v>2699</v>
      </c>
      <c r="BZ730" s="83" t="s">
        <v>2699</v>
      </c>
      <c r="CA730" s="83" t="s">
        <v>2693</v>
      </c>
      <c r="CB730" s="83" t="s">
        <v>2694</v>
      </c>
      <c r="CC730" s="83" t="s">
        <v>2696</v>
      </c>
      <c r="CD730" s="83" t="s">
        <v>2696</v>
      </c>
      <c r="CF730" s="83" t="s">
        <v>2230</v>
      </c>
      <c r="CG730" s="83" t="s">
        <v>2231</v>
      </c>
      <c r="CH730" s="83" t="s">
        <v>2693</v>
      </c>
      <c r="CI730" s="83" t="s">
        <v>3992</v>
      </c>
      <c r="CJ730" s="83" t="s">
        <v>2701</v>
      </c>
      <c r="CK730" s="144">
        <v>0</v>
      </c>
      <c r="CL730"/>
    </row>
    <row r="731" spans="1:90">
      <c r="A731" s="83" t="s">
        <v>1475</v>
      </c>
      <c r="B731" s="83" t="s">
        <v>979</v>
      </c>
      <c r="D731" s="83" t="s">
        <v>673</v>
      </c>
      <c r="E731" s="83" t="s">
        <v>1681</v>
      </c>
      <c r="F731" s="83" t="s">
        <v>1798</v>
      </c>
      <c r="G731" s="83" t="s">
        <v>1905</v>
      </c>
      <c r="H731" s="83" t="s">
        <v>1201</v>
      </c>
      <c r="I731" s="83" t="s">
        <v>1202</v>
      </c>
      <c r="J731" s="83" t="s">
        <v>1203</v>
      </c>
      <c r="K731" s="83" t="s">
        <v>565</v>
      </c>
      <c r="L731" s="83" t="s">
        <v>398</v>
      </c>
      <c r="M731" s="83" t="s">
        <v>399</v>
      </c>
      <c r="N731" s="83" t="s">
        <v>2833</v>
      </c>
      <c r="O731" s="83" t="s">
        <v>106</v>
      </c>
      <c r="P731" s="83">
        <v>5</v>
      </c>
      <c r="Q731" s="83" t="s">
        <v>106</v>
      </c>
      <c r="R731" s="83" t="s">
        <v>2727</v>
      </c>
      <c r="S731" s="83" t="s">
        <v>1446</v>
      </c>
      <c r="T731" s="83" t="s">
        <v>2703</v>
      </c>
      <c r="U731" s="83" t="s">
        <v>401</v>
      </c>
      <c r="AC731" s="83" t="s">
        <v>401</v>
      </c>
      <c r="AD731" s="83">
        <v>2217000</v>
      </c>
      <c r="AF731" s="83">
        <v>0</v>
      </c>
      <c r="AJ731" s="83">
        <v>1</v>
      </c>
      <c r="AK731" s="83">
        <v>1</v>
      </c>
      <c r="AL731" s="83">
        <v>26000</v>
      </c>
      <c r="AM731" s="83" t="s">
        <v>2693</v>
      </c>
      <c r="BK731" s="83" t="s">
        <v>2694</v>
      </c>
      <c r="BL731" s="83" t="s">
        <v>2696</v>
      </c>
      <c r="BM731" s="83" t="s">
        <v>2693</v>
      </c>
      <c r="BN731" s="83" t="s">
        <v>2696</v>
      </c>
      <c r="BO731" s="83" t="s">
        <v>2697</v>
      </c>
      <c r="BP731" s="83" t="s">
        <v>2699</v>
      </c>
      <c r="BQ731" s="83" t="s">
        <v>2693</v>
      </c>
      <c r="BR731" s="83" t="s">
        <v>2693</v>
      </c>
      <c r="BS731" s="83" t="s">
        <v>2699</v>
      </c>
      <c r="BT731" s="83">
        <v>0</v>
      </c>
      <c r="BU731" s="83" t="s">
        <v>2699</v>
      </c>
      <c r="BV731" s="83" t="s">
        <v>2696</v>
      </c>
      <c r="BW731" s="83" t="s">
        <v>2696</v>
      </c>
      <c r="BX731" s="83" t="s">
        <v>2696</v>
      </c>
      <c r="BY731" s="83" t="s">
        <v>2699</v>
      </c>
      <c r="BZ731" s="83" t="s">
        <v>2699</v>
      </c>
      <c r="CA731" s="83" t="s">
        <v>2699</v>
      </c>
      <c r="CB731" s="83" t="s">
        <v>2696</v>
      </c>
      <c r="CC731" s="83" t="s">
        <v>2696</v>
      </c>
      <c r="CD731" s="83" t="s">
        <v>2696</v>
      </c>
      <c r="CF731" s="83" t="s">
        <v>2094</v>
      </c>
      <c r="CG731" s="83" t="s">
        <v>2095</v>
      </c>
      <c r="CH731" s="83" t="s">
        <v>2725</v>
      </c>
      <c r="CI731" s="83" t="s">
        <v>1358</v>
      </c>
      <c r="CJ731" s="83" t="s">
        <v>2726</v>
      </c>
      <c r="CK731" s="144">
        <v>0</v>
      </c>
      <c r="CL731"/>
    </row>
    <row r="732" spans="1:90">
      <c r="A732" s="83" t="s">
        <v>2286</v>
      </c>
      <c r="B732" s="83" t="s">
        <v>735</v>
      </c>
      <c r="D732" s="83" t="s">
        <v>688</v>
      </c>
      <c r="E732" s="83" t="s">
        <v>2544</v>
      </c>
      <c r="F732" s="83" t="s">
        <v>1337</v>
      </c>
      <c r="G732" s="83" t="s">
        <v>1335</v>
      </c>
      <c r="H732" s="83" t="s">
        <v>1201</v>
      </c>
      <c r="I732" s="83" t="s">
        <v>1202</v>
      </c>
      <c r="J732" s="83" t="s">
        <v>1203</v>
      </c>
      <c r="K732" s="83" t="s">
        <v>565</v>
      </c>
      <c r="L732" s="83" t="s">
        <v>398</v>
      </c>
      <c r="M732" s="83" t="s">
        <v>399</v>
      </c>
      <c r="N732" s="83" t="s">
        <v>3001</v>
      </c>
      <c r="O732" s="83" t="s">
        <v>106</v>
      </c>
      <c r="P732" s="83">
        <v>8</v>
      </c>
      <c r="Q732" s="83" t="s">
        <v>106</v>
      </c>
      <c r="R732" s="83" t="s">
        <v>2730</v>
      </c>
      <c r="S732" s="83" t="s">
        <v>1465</v>
      </c>
      <c r="T732" s="83" t="s">
        <v>2843</v>
      </c>
      <c r="U732" s="83" t="s">
        <v>401</v>
      </c>
      <c r="AC732" s="83" t="s">
        <v>401</v>
      </c>
      <c r="AD732" s="83">
        <v>493000</v>
      </c>
      <c r="AF732" s="83">
        <v>0</v>
      </c>
      <c r="AJ732" s="83">
        <v>1</v>
      </c>
      <c r="AK732" s="83">
        <v>1</v>
      </c>
      <c r="AL732" s="83">
        <v>1872</v>
      </c>
      <c r="AM732" s="83" t="s">
        <v>2693</v>
      </c>
      <c r="BK732" s="83" t="s">
        <v>2694</v>
      </c>
      <c r="BL732" s="83" t="s">
        <v>2693</v>
      </c>
      <c r="BM732" s="83" t="s">
        <v>2725</v>
      </c>
      <c r="BN732" s="83" t="s">
        <v>2698</v>
      </c>
      <c r="BO732" s="83" t="s">
        <v>2697</v>
      </c>
      <c r="BP732" s="83" t="s">
        <v>2698</v>
      </c>
      <c r="BQ732" s="83" t="s">
        <v>2699</v>
      </c>
      <c r="BR732" s="83" t="s">
        <v>2693</v>
      </c>
      <c r="BS732" s="83" t="s">
        <v>2699</v>
      </c>
      <c r="BT732" s="83" t="s">
        <v>2696</v>
      </c>
      <c r="BU732" s="83" t="s">
        <v>2699</v>
      </c>
      <c r="BV732" s="83" t="s">
        <v>2696</v>
      </c>
      <c r="BW732" s="83" t="s">
        <v>2698</v>
      </c>
      <c r="BX732" s="83" t="s">
        <v>2696</v>
      </c>
      <c r="BY732" s="83" t="s">
        <v>2699</v>
      </c>
      <c r="BZ732" s="83" t="s">
        <v>2693</v>
      </c>
      <c r="CA732" s="83" t="s">
        <v>2693</v>
      </c>
      <c r="CB732" s="83" t="s">
        <v>2694</v>
      </c>
      <c r="CC732" s="83" t="s">
        <v>2699</v>
      </c>
      <c r="CD732" s="83" t="s">
        <v>2696</v>
      </c>
      <c r="CF732" s="83" t="s">
        <v>3013</v>
      </c>
      <c r="CG732" s="83" t="s">
        <v>3014</v>
      </c>
      <c r="CH732" s="83" t="s">
        <v>2695</v>
      </c>
      <c r="CI732" s="83" t="s">
        <v>648</v>
      </c>
      <c r="CJ732" s="83" t="s">
        <v>2722</v>
      </c>
      <c r="CK732" s="144">
        <v>0</v>
      </c>
      <c r="CL732" s="99">
        <v>12000</v>
      </c>
    </row>
    <row r="733" spans="1:90">
      <c r="A733" s="83" t="s">
        <v>4145</v>
      </c>
      <c r="B733" s="83" t="s">
        <v>4146</v>
      </c>
      <c r="D733" s="98" t="s">
        <v>688</v>
      </c>
      <c r="E733" s="83" t="s">
        <v>4146</v>
      </c>
      <c r="F733" s="83">
        <v>5130</v>
      </c>
      <c r="G733" s="83" t="s">
        <v>1845</v>
      </c>
      <c r="H733" s="83" t="s">
        <v>1201</v>
      </c>
      <c r="I733" s="83" t="s">
        <v>1202</v>
      </c>
      <c r="J733" s="83" t="s">
        <v>1203</v>
      </c>
      <c r="K733" s="83" t="s">
        <v>565</v>
      </c>
      <c r="L733" s="83" t="s">
        <v>398</v>
      </c>
      <c r="M733" s="83" t="s">
        <v>399</v>
      </c>
      <c r="N733" s="83">
        <v>32208</v>
      </c>
      <c r="O733" s="83" t="s">
        <v>106</v>
      </c>
      <c r="P733" s="83">
        <v>8</v>
      </c>
      <c r="Q733" s="83" t="s">
        <v>106</v>
      </c>
      <c r="R733" s="83">
        <v>10</v>
      </c>
      <c r="S733" s="87">
        <v>40908</v>
      </c>
      <c r="T733" s="79" t="s">
        <v>2703</v>
      </c>
      <c r="U733" s="83" t="s">
        <v>401</v>
      </c>
      <c r="AC733" s="79" t="s">
        <v>401</v>
      </c>
      <c r="AD733" s="79">
        <v>5114000</v>
      </c>
      <c r="AF733" s="83">
        <v>295000</v>
      </c>
      <c r="AJ733" s="83">
        <v>1</v>
      </c>
      <c r="AK733" s="83">
        <v>1</v>
      </c>
      <c r="AL733" s="83">
        <v>29825</v>
      </c>
      <c r="AM733" s="83" t="s">
        <v>2693</v>
      </c>
      <c r="AN733" s="83">
        <v>0</v>
      </c>
      <c r="AO733" s="83">
        <v>0</v>
      </c>
      <c r="AP733" s="83">
        <v>0</v>
      </c>
      <c r="AQ733" s="83">
        <v>0</v>
      </c>
      <c r="AR733" s="83">
        <v>0</v>
      </c>
      <c r="AS733" s="83">
        <v>0</v>
      </c>
      <c r="AT733" s="83">
        <v>0</v>
      </c>
      <c r="AU733" s="83">
        <v>0</v>
      </c>
      <c r="AV733" s="83">
        <v>0</v>
      </c>
      <c r="AW733" s="83">
        <v>0</v>
      </c>
      <c r="AX733" s="83">
        <v>0</v>
      </c>
      <c r="AY733" s="83">
        <v>0</v>
      </c>
      <c r="AZ733" s="83">
        <v>0</v>
      </c>
      <c r="BA733" s="83">
        <v>0</v>
      </c>
      <c r="BB733" s="83">
        <v>0</v>
      </c>
      <c r="BC733" s="83">
        <v>0</v>
      </c>
      <c r="BD733" s="83">
        <v>0</v>
      </c>
      <c r="BE733" s="83">
        <v>0</v>
      </c>
      <c r="BF733" s="83">
        <v>0</v>
      </c>
      <c r="BG733" s="83">
        <v>0</v>
      </c>
      <c r="BH733" s="83">
        <v>0</v>
      </c>
      <c r="BI733" s="83">
        <v>0</v>
      </c>
      <c r="BJ733" s="83">
        <v>0</v>
      </c>
      <c r="BK733" s="83">
        <v>9</v>
      </c>
      <c r="BL733" s="83">
        <v>4</v>
      </c>
      <c r="BM733" s="83">
        <v>2</v>
      </c>
      <c r="BN733" s="83">
        <v>5</v>
      </c>
      <c r="BO733" s="83">
        <v>2</v>
      </c>
      <c r="BP733" s="83">
        <v>3</v>
      </c>
      <c r="BQ733" s="83">
        <v>1</v>
      </c>
      <c r="BR733" s="83">
        <v>2</v>
      </c>
      <c r="BS733" s="83">
        <v>1</v>
      </c>
      <c r="BT733" s="83">
        <v>0</v>
      </c>
      <c r="BU733" s="83">
        <v>1</v>
      </c>
      <c r="BV733" s="83">
        <v>0</v>
      </c>
      <c r="BW733" s="83">
        <v>5</v>
      </c>
      <c r="BX733" s="83">
        <v>0</v>
      </c>
      <c r="BY733" s="83">
        <v>1</v>
      </c>
      <c r="BZ733" s="83">
        <v>1</v>
      </c>
      <c r="CA733" s="83">
        <v>2</v>
      </c>
      <c r="CB733" s="83">
        <v>9</v>
      </c>
      <c r="CC733" s="83">
        <v>1</v>
      </c>
      <c r="CD733" s="83">
        <v>0</v>
      </c>
      <c r="CF733" s="83" t="s">
        <v>4147</v>
      </c>
      <c r="CG733" s="83" t="s">
        <v>4148</v>
      </c>
      <c r="CH733" s="83">
        <v>4</v>
      </c>
      <c r="CI733" s="83" t="s">
        <v>648</v>
      </c>
      <c r="CJ733" s="83">
        <v>137</v>
      </c>
      <c r="CK733" s="144">
        <v>0</v>
      </c>
      <c r="CL733" s="99">
        <v>66000</v>
      </c>
    </row>
    <row r="734" spans="1:90">
      <c r="A734" s="83" t="s">
        <v>1074</v>
      </c>
      <c r="B734" s="83" t="s">
        <v>2432</v>
      </c>
      <c r="D734" s="83" t="s">
        <v>688</v>
      </c>
      <c r="E734" s="83" t="s">
        <v>2387</v>
      </c>
      <c r="F734" s="83" t="s">
        <v>3554</v>
      </c>
      <c r="G734" s="83" t="s">
        <v>1198</v>
      </c>
      <c r="H734" s="83" t="s">
        <v>1201</v>
      </c>
      <c r="I734" s="83" t="s">
        <v>1202</v>
      </c>
      <c r="J734" s="83" t="s">
        <v>1203</v>
      </c>
      <c r="K734" s="83" t="s">
        <v>565</v>
      </c>
      <c r="L734" s="83" t="s">
        <v>398</v>
      </c>
      <c r="M734" s="83" t="s">
        <v>399</v>
      </c>
      <c r="N734" s="83" t="s">
        <v>3417</v>
      </c>
      <c r="O734" s="83" t="s">
        <v>106</v>
      </c>
      <c r="P734" s="83">
        <v>4</v>
      </c>
      <c r="Q734" s="83" t="s">
        <v>106</v>
      </c>
      <c r="R734" s="83" t="s">
        <v>2767</v>
      </c>
      <c r="S734" s="83" t="s">
        <v>1463</v>
      </c>
      <c r="T734" s="83" t="s">
        <v>2703</v>
      </c>
      <c r="U734" s="83" t="s">
        <v>401</v>
      </c>
      <c r="AC734" s="83" t="s">
        <v>401</v>
      </c>
      <c r="AD734" s="83">
        <v>91000</v>
      </c>
      <c r="AF734" s="83">
        <v>3000</v>
      </c>
      <c r="AJ734" s="83">
        <v>1</v>
      </c>
      <c r="AK734" s="83">
        <v>1</v>
      </c>
      <c r="AL734" s="83">
        <v>792</v>
      </c>
      <c r="AM734" s="83" t="s">
        <v>2693</v>
      </c>
      <c r="BK734" s="83" t="s">
        <v>2694</v>
      </c>
      <c r="BL734" s="83" t="s">
        <v>2693</v>
      </c>
      <c r="BM734" s="83" t="s">
        <v>2697</v>
      </c>
      <c r="BN734" s="83" t="s">
        <v>2698</v>
      </c>
      <c r="BO734" s="83" t="s">
        <v>2697</v>
      </c>
      <c r="BP734" s="83" t="s">
        <v>2695</v>
      </c>
      <c r="BQ734" s="83" t="s">
        <v>2699</v>
      </c>
      <c r="BR734" s="83" t="s">
        <v>2693</v>
      </c>
      <c r="BS734" s="83" t="s">
        <v>2699</v>
      </c>
      <c r="BT734" s="83" t="s">
        <v>2696</v>
      </c>
      <c r="BU734" s="83" t="s">
        <v>2699</v>
      </c>
      <c r="BV734" s="83" t="s">
        <v>2697</v>
      </c>
      <c r="BW734" s="83" t="s">
        <v>2698</v>
      </c>
      <c r="BX734" s="83" t="s">
        <v>2696</v>
      </c>
      <c r="BY734" s="83" t="s">
        <v>2699</v>
      </c>
      <c r="BZ734" s="83" t="s">
        <v>2699</v>
      </c>
      <c r="CA734" s="83" t="s">
        <v>2693</v>
      </c>
      <c r="CB734" s="83" t="s">
        <v>2694</v>
      </c>
      <c r="CC734" s="83" t="s">
        <v>2696</v>
      </c>
      <c r="CD734" s="83" t="s">
        <v>2696</v>
      </c>
      <c r="CF734" s="83" t="s">
        <v>1075</v>
      </c>
      <c r="CG734" s="83" t="s">
        <v>1076</v>
      </c>
      <c r="CH734" s="83" t="s">
        <v>2693</v>
      </c>
      <c r="CI734" s="83" t="s">
        <v>3992</v>
      </c>
      <c r="CJ734" s="83" t="s">
        <v>2701</v>
      </c>
      <c r="CK734" s="144">
        <v>2</v>
      </c>
      <c r="CL734" s="99">
        <v>387000</v>
      </c>
    </row>
    <row r="735" spans="1:90">
      <c r="A735" s="83" t="s">
        <v>1074</v>
      </c>
      <c r="B735" s="83" t="s">
        <v>2432</v>
      </c>
      <c r="D735" s="83" t="s">
        <v>673</v>
      </c>
      <c r="E735" s="83" t="s">
        <v>2433</v>
      </c>
      <c r="F735" s="83" t="s">
        <v>3554</v>
      </c>
      <c r="G735" s="83" t="s">
        <v>1198</v>
      </c>
      <c r="H735" s="83" t="s">
        <v>1201</v>
      </c>
      <c r="I735" s="83" t="s">
        <v>1202</v>
      </c>
      <c r="J735" s="83" t="s">
        <v>1203</v>
      </c>
      <c r="K735" s="83" t="s">
        <v>565</v>
      </c>
      <c r="L735" s="83" t="s">
        <v>398</v>
      </c>
      <c r="M735" s="83" t="s">
        <v>399</v>
      </c>
      <c r="N735" s="83" t="s">
        <v>3417</v>
      </c>
      <c r="O735" s="83" t="s">
        <v>106</v>
      </c>
      <c r="P735" s="83">
        <v>1</v>
      </c>
      <c r="Q735" s="83" t="s">
        <v>106</v>
      </c>
      <c r="R735" s="83" t="s">
        <v>2767</v>
      </c>
      <c r="S735" s="83" t="s">
        <v>1463</v>
      </c>
      <c r="T735" s="83" t="s">
        <v>2703</v>
      </c>
      <c r="U735" s="83" t="s">
        <v>401</v>
      </c>
      <c r="AC735" s="83" t="s">
        <v>401</v>
      </c>
      <c r="AD735" s="83">
        <v>96000</v>
      </c>
      <c r="AF735" s="83">
        <v>0</v>
      </c>
      <c r="AJ735" s="83">
        <v>1</v>
      </c>
      <c r="AK735" s="83">
        <v>1</v>
      </c>
      <c r="AL735" s="83">
        <v>1664</v>
      </c>
      <c r="AM735" s="83" t="s">
        <v>2693</v>
      </c>
      <c r="BK735" s="83" t="s">
        <v>2694</v>
      </c>
      <c r="BL735" s="83" t="s">
        <v>2704</v>
      </c>
      <c r="BM735" s="83" t="s">
        <v>2698</v>
      </c>
      <c r="BN735" s="83" t="s">
        <v>2696</v>
      </c>
      <c r="BO735" s="83" t="s">
        <v>2697</v>
      </c>
      <c r="BP735" s="83" t="s">
        <v>2698</v>
      </c>
      <c r="BQ735" s="83" t="s">
        <v>2699</v>
      </c>
      <c r="BR735" s="83" t="s">
        <v>2693</v>
      </c>
      <c r="BS735" s="83" t="s">
        <v>2699</v>
      </c>
      <c r="BT735" s="83" t="s">
        <v>2696</v>
      </c>
      <c r="BU735" s="83" t="s">
        <v>2699</v>
      </c>
      <c r="BV735" s="83" t="s">
        <v>2697</v>
      </c>
      <c r="BW735" s="83" t="s">
        <v>2697</v>
      </c>
      <c r="BX735" s="83" t="s">
        <v>2696</v>
      </c>
      <c r="BY735" s="83" t="s">
        <v>2693</v>
      </c>
      <c r="BZ735" s="83" t="s">
        <v>2699</v>
      </c>
      <c r="CA735" s="83" t="s">
        <v>2693</v>
      </c>
      <c r="CB735" s="83" t="s">
        <v>2694</v>
      </c>
      <c r="CC735" s="83" t="s">
        <v>2696</v>
      </c>
      <c r="CD735" s="83" t="s">
        <v>2696</v>
      </c>
      <c r="CF735" s="83" t="s">
        <v>828</v>
      </c>
      <c r="CG735" s="83" t="s">
        <v>829</v>
      </c>
      <c r="CH735" s="83" t="s">
        <v>2699</v>
      </c>
      <c r="CI735" s="83" t="s">
        <v>2699</v>
      </c>
      <c r="CJ735" s="83" t="s">
        <v>2734</v>
      </c>
      <c r="CK735" s="144">
        <v>0</v>
      </c>
      <c r="CL735"/>
    </row>
    <row r="736" spans="1:90">
      <c r="A736" s="83" t="s">
        <v>806</v>
      </c>
      <c r="B736" s="83" t="s">
        <v>3555</v>
      </c>
      <c r="D736" s="83" t="s">
        <v>688</v>
      </c>
      <c r="E736" s="83" t="s">
        <v>3556</v>
      </c>
      <c r="F736" s="83" t="s">
        <v>3425</v>
      </c>
      <c r="G736" s="83" t="s">
        <v>1155</v>
      </c>
      <c r="H736" s="83" t="s">
        <v>1201</v>
      </c>
      <c r="I736" s="83" t="s">
        <v>1202</v>
      </c>
      <c r="J736" s="83" t="s">
        <v>1203</v>
      </c>
      <c r="K736" s="83" t="s">
        <v>565</v>
      </c>
      <c r="L736" s="83" t="s">
        <v>398</v>
      </c>
      <c r="M736" s="83" t="s">
        <v>399</v>
      </c>
      <c r="N736" s="83" t="s">
        <v>3057</v>
      </c>
      <c r="O736" s="83" t="s">
        <v>106</v>
      </c>
      <c r="P736" s="83">
        <v>1</v>
      </c>
      <c r="Q736" s="83" t="s">
        <v>106</v>
      </c>
      <c r="R736" s="83" t="s">
        <v>2799</v>
      </c>
      <c r="S736" s="83" t="s">
        <v>2751</v>
      </c>
      <c r="T736" s="83" t="s">
        <v>2703</v>
      </c>
      <c r="U736" s="83" t="s">
        <v>401</v>
      </c>
      <c r="AC736" s="83" t="s">
        <v>401</v>
      </c>
      <c r="AD736" s="83">
        <v>95000</v>
      </c>
      <c r="AF736" s="83">
        <v>13000</v>
      </c>
      <c r="AJ736" s="83">
        <v>1</v>
      </c>
      <c r="AK736" s="83">
        <v>1</v>
      </c>
      <c r="AL736" s="83">
        <v>1278</v>
      </c>
      <c r="AM736" s="83" t="s">
        <v>2693</v>
      </c>
      <c r="BK736" s="83" t="s">
        <v>2694</v>
      </c>
      <c r="BL736" s="83" t="s">
        <v>2704</v>
      </c>
      <c r="BM736" s="83" t="s">
        <v>2698</v>
      </c>
      <c r="BN736" s="83" t="s">
        <v>2696</v>
      </c>
      <c r="BO736" s="83" t="s">
        <v>2697</v>
      </c>
      <c r="BP736" s="83" t="s">
        <v>2698</v>
      </c>
      <c r="BQ736" s="83" t="s">
        <v>2699</v>
      </c>
      <c r="BR736" s="83" t="s">
        <v>2693</v>
      </c>
      <c r="BS736" s="83" t="s">
        <v>2699</v>
      </c>
      <c r="BT736" s="83" t="s">
        <v>2696</v>
      </c>
      <c r="BU736" s="83" t="s">
        <v>2699</v>
      </c>
      <c r="BV736" s="83" t="s">
        <v>2697</v>
      </c>
      <c r="BW736" s="83" t="s">
        <v>2697</v>
      </c>
      <c r="BX736" s="83" t="s">
        <v>2696</v>
      </c>
      <c r="BY736" s="83" t="s">
        <v>2699</v>
      </c>
      <c r="BZ736" s="83" t="s">
        <v>2699</v>
      </c>
      <c r="CA736" s="83" t="s">
        <v>2693</v>
      </c>
      <c r="CB736" s="83" t="s">
        <v>2694</v>
      </c>
      <c r="CC736" s="83" t="s">
        <v>2696</v>
      </c>
      <c r="CD736" s="83" t="s">
        <v>2696</v>
      </c>
      <c r="CF736" s="83" t="s">
        <v>807</v>
      </c>
      <c r="CG736" s="83" t="s">
        <v>808</v>
      </c>
      <c r="CH736" s="83" t="s">
        <v>2699</v>
      </c>
      <c r="CI736" s="83" t="s">
        <v>2699</v>
      </c>
      <c r="CJ736" s="83" t="s">
        <v>2734</v>
      </c>
      <c r="CK736" s="144">
        <v>1</v>
      </c>
      <c r="CL736"/>
    </row>
    <row r="737" spans="1:90">
      <c r="A737" s="83" t="s">
        <v>2325</v>
      </c>
      <c r="B737" s="83" t="s">
        <v>2636</v>
      </c>
      <c r="D737" s="83" t="s">
        <v>688</v>
      </c>
      <c r="E737" s="83" t="s">
        <v>2541</v>
      </c>
      <c r="F737" s="83" t="s">
        <v>1323</v>
      </c>
      <c r="G737" s="83" t="s">
        <v>1324</v>
      </c>
      <c r="H737" s="83" t="s">
        <v>1201</v>
      </c>
      <c r="I737" s="83" t="s">
        <v>1202</v>
      </c>
      <c r="J737" s="83" t="s">
        <v>1203</v>
      </c>
      <c r="K737" s="83" t="s">
        <v>565</v>
      </c>
      <c r="L737" s="83" t="s">
        <v>398</v>
      </c>
      <c r="M737" s="83" t="s">
        <v>399</v>
      </c>
      <c r="N737" s="83" t="s">
        <v>3277</v>
      </c>
      <c r="O737" s="83" t="s">
        <v>106</v>
      </c>
      <c r="P737" s="83">
        <v>4</v>
      </c>
      <c r="Q737" s="83" t="s">
        <v>106</v>
      </c>
      <c r="R737" s="83" t="s">
        <v>2727</v>
      </c>
      <c r="S737" s="83" t="s">
        <v>2714</v>
      </c>
      <c r="T737" s="83" t="s">
        <v>2843</v>
      </c>
      <c r="U737" s="83" t="s">
        <v>401</v>
      </c>
      <c r="AC737" s="83" t="s">
        <v>401</v>
      </c>
      <c r="AD737" s="83">
        <v>383000</v>
      </c>
      <c r="AF737" s="83">
        <v>43000</v>
      </c>
      <c r="AJ737" s="83">
        <v>1</v>
      </c>
      <c r="AK737" s="83">
        <v>1</v>
      </c>
      <c r="AL737" s="83">
        <v>4300</v>
      </c>
      <c r="AM737" s="83" t="s">
        <v>2693</v>
      </c>
      <c r="BK737" s="83" t="s">
        <v>2694</v>
      </c>
      <c r="BL737" s="83" t="s">
        <v>2693</v>
      </c>
      <c r="BM737" s="83" t="s">
        <v>2698</v>
      </c>
      <c r="BN737" s="83" t="s">
        <v>2698</v>
      </c>
      <c r="BO737" s="83" t="s">
        <v>2697</v>
      </c>
      <c r="BP737" s="83" t="s">
        <v>2698</v>
      </c>
      <c r="BQ737" s="83" t="s">
        <v>2699</v>
      </c>
      <c r="BR737" s="83" t="s">
        <v>2693</v>
      </c>
      <c r="BS737" s="83" t="s">
        <v>2699</v>
      </c>
      <c r="BT737" s="83" t="s">
        <v>2696</v>
      </c>
      <c r="BU737" s="83" t="s">
        <v>2699</v>
      </c>
      <c r="BV737" s="83" t="s">
        <v>2696</v>
      </c>
      <c r="BW737" s="83" t="s">
        <v>2698</v>
      </c>
      <c r="BX737" s="83" t="s">
        <v>2696</v>
      </c>
      <c r="BY737" s="83" t="s">
        <v>2699</v>
      </c>
      <c r="BZ737" s="83" t="s">
        <v>2693</v>
      </c>
      <c r="CA737" s="83" t="s">
        <v>2693</v>
      </c>
      <c r="CB737" s="83" t="s">
        <v>2694</v>
      </c>
      <c r="CC737" s="83" t="s">
        <v>2699</v>
      </c>
      <c r="CD737" s="83" t="s">
        <v>2696</v>
      </c>
      <c r="CF737" s="83" t="s">
        <v>3280</v>
      </c>
      <c r="CG737" s="83" t="s">
        <v>3281</v>
      </c>
      <c r="CH737" s="83" t="s">
        <v>2693</v>
      </c>
      <c r="CI737" s="83" t="s">
        <v>3992</v>
      </c>
      <c r="CJ737" s="83" t="s">
        <v>2701</v>
      </c>
      <c r="CK737" s="144">
        <v>0</v>
      </c>
      <c r="CL737" s="99">
        <v>784000</v>
      </c>
    </row>
    <row r="738" spans="1:90">
      <c r="A738" s="83" t="s">
        <v>2325</v>
      </c>
      <c r="B738" s="83" t="s">
        <v>2636</v>
      </c>
      <c r="D738" s="83" t="s">
        <v>673</v>
      </c>
      <c r="E738" s="83" t="s">
        <v>2548</v>
      </c>
      <c r="F738" s="83" t="s">
        <v>1323</v>
      </c>
      <c r="G738" s="83" t="s">
        <v>1324</v>
      </c>
      <c r="H738" s="83" t="s">
        <v>1201</v>
      </c>
      <c r="I738" s="83" t="s">
        <v>1202</v>
      </c>
      <c r="J738" s="83" t="s">
        <v>1203</v>
      </c>
      <c r="K738" s="83" t="s">
        <v>565</v>
      </c>
      <c r="L738" s="83" t="s">
        <v>398</v>
      </c>
      <c r="M738" s="83" t="s">
        <v>399</v>
      </c>
      <c r="N738" s="83" t="s">
        <v>3277</v>
      </c>
      <c r="O738" s="83" t="s">
        <v>106</v>
      </c>
      <c r="P738" s="83">
        <v>4</v>
      </c>
      <c r="Q738" s="83" t="s">
        <v>106</v>
      </c>
      <c r="R738" s="83" t="s">
        <v>2727</v>
      </c>
      <c r="S738" s="83" t="s">
        <v>2714</v>
      </c>
      <c r="T738" s="83" t="s">
        <v>2843</v>
      </c>
      <c r="U738" s="83" t="s">
        <v>401</v>
      </c>
      <c r="AC738" s="83" t="s">
        <v>401</v>
      </c>
      <c r="AD738" s="83">
        <v>214000</v>
      </c>
      <c r="AF738" s="83">
        <v>24000</v>
      </c>
      <c r="AJ738" s="83">
        <v>1</v>
      </c>
      <c r="AK738" s="83">
        <v>2</v>
      </c>
      <c r="AL738" s="83">
        <v>2436</v>
      </c>
      <c r="AM738" s="83" t="s">
        <v>2693</v>
      </c>
      <c r="BK738" s="83" t="s">
        <v>2694</v>
      </c>
      <c r="BL738" s="83" t="s">
        <v>2693</v>
      </c>
      <c r="BM738" s="83" t="s">
        <v>2698</v>
      </c>
      <c r="BN738" s="83" t="s">
        <v>2698</v>
      </c>
      <c r="BO738" s="83" t="s">
        <v>2697</v>
      </c>
      <c r="BP738" s="83" t="s">
        <v>2698</v>
      </c>
      <c r="BQ738" s="83" t="s">
        <v>2699</v>
      </c>
      <c r="BR738" s="83" t="s">
        <v>2693</v>
      </c>
      <c r="BS738" s="83" t="s">
        <v>2699</v>
      </c>
      <c r="BT738" s="83" t="s">
        <v>2696</v>
      </c>
      <c r="BU738" s="83" t="s">
        <v>2699</v>
      </c>
      <c r="BV738" s="83" t="s">
        <v>2696</v>
      </c>
      <c r="BW738" s="83" t="s">
        <v>2698</v>
      </c>
      <c r="BX738" s="83" t="s">
        <v>2696</v>
      </c>
      <c r="BY738" s="83" t="s">
        <v>2699</v>
      </c>
      <c r="BZ738" s="83" t="s">
        <v>2693</v>
      </c>
      <c r="CA738" s="83" t="s">
        <v>2693</v>
      </c>
      <c r="CB738" s="83" t="s">
        <v>2694</v>
      </c>
      <c r="CC738" s="83" t="s">
        <v>2699</v>
      </c>
      <c r="CD738" s="83" t="s">
        <v>2696</v>
      </c>
      <c r="CF738" s="83" t="s">
        <v>3282</v>
      </c>
      <c r="CG738" s="83" t="s">
        <v>3283</v>
      </c>
      <c r="CH738" s="83" t="s">
        <v>2693</v>
      </c>
      <c r="CI738" s="83" t="s">
        <v>3992</v>
      </c>
      <c r="CJ738" s="83" t="s">
        <v>2701</v>
      </c>
      <c r="CK738" s="144">
        <v>0</v>
      </c>
      <c r="CL738"/>
    </row>
    <row r="739" spans="1:90">
      <c r="A739" s="83" t="s">
        <v>1604</v>
      </c>
      <c r="B739" s="83" t="s">
        <v>2834</v>
      </c>
      <c r="D739" s="83" t="s">
        <v>688</v>
      </c>
      <c r="E739" s="83" t="s">
        <v>1012</v>
      </c>
      <c r="F739" s="83" t="s">
        <v>1799</v>
      </c>
      <c r="G739" s="83" t="s">
        <v>1829</v>
      </c>
      <c r="H739" s="83" t="s">
        <v>1201</v>
      </c>
      <c r="I739" s="83" t="s">
        <v>1202</v>
      </c>
      <c r="J739" s="83" t="s">
        <v>1203</v>
      </c>
      <c r="K739" s="83" t="s">
        <v>565</v>
      </c>
      <c r="L739" s="83" t="s">
        <v>398</v>
      </c>
      <c r="M739" s="83" t="s">
        <v>399</v>
      </c>
      <c r="N739" s="83" t="s">
        <v>2735</v>
      </c>
      <c r="O739" s="83" t="s">
        <v>106</v>
      </c>
      <c r="P739" s="83">
        <v>5</v>
      </c>
      <c r="Q739" s="83" t="s">
        <v>106</v>
      </c>
      <c r="R739" s="83" t="s">
        <v>2691</v>
      </c>
      <c r="S739" s="83" t="s">
        <v>1447</v>
      </c>
      <c r="T739" s="83" t="s">
        <v>2703</v>
      </c>
      <c r="U739" s="83" t="s">
        <v>401</v>
      </c>
      <c r="AC739" s="83" t="s">
        <v>401</v>
      </c>
      <c r="AD739" s="83">
        <v>2896000</v>
      </c>
      <c r="AF739" s="83">
        <v>0</v>
      </c>
      <c r="AJ739" s="83">
        <v>1</v>
      </c>
      <c r="AK739" s="83">
        <v>1</v>
      </c>
      <c r="AL739" s="83">
        <v>22656</v>
      </c>
      <c r="AM739" s="83" t="s">
        <v>2693</v>
      </c>
      <c r="BK739" s="83" t="s">
        <v>2694</v>
      </c>
      <c r="BL739" s="83" t="s">
        <v>2697</v>
      </c>
      <c r="BM739" s="83" t="s">
        <v>2699</v>
      </c>
      <c r="BN739" s="83" t="s">
        <v>2698</v>
      </c>
      <c r="BO739" s="83" t="s">
        <v>2697</v>
      </c>
      <c r="BP739" s="83" t="s">
        <v>2697</v>
      </c>
      <c r="BQ739" s="83" t="s">
        <v>2699</v>
      </c>
      <c r="BR739" s="83" t="s">
        <v>2693</v>
      </c>
      <c r="BS739" s="83" t="s">
        <v>2699</v>
      </c>
      <c r="BT739" s="83">
        <v>0</v>
      </c>
      <c r="BU739" s="83" t="s">
        <v>2699</v>
      </c>
      <c r="BV739" s="83" t="s">
        <v>2696</v>
      </c>
      <c r="BW739" s="83" t="s">
        <v>2699</v>
      </c>
      <c r="BX739" s="83" t="s">
        <v>2696</v>
      </c>
      <c r="BY739" s="83" t="s">
        <v>2699</v>
      </c>
      <c r="BZ739" s="83" t="s">
        <v>2693</v>
      </c>
      <c r="CA739" s="83" t="s">
        <v>2693</v>
      </c>
      <c r="CB739" s="83" t="s">
        <v>2694</v>
      </c>
      <c r="CC739" s="83" t="s">
        <v>2699</v>
      </c>
      <c r="CD739" s="83" t="s">
        <v>2699</v>
      </c>
      <c r="CF739" s="83" t="s">
        <v>2038</v>
      </c>
      <c r="CG739" s="83" t="s">
        <v>2039</v>
      </c>
      <c r="CH739" s="83" t="s">
        <v>2725</v>
      </c>
      <c r="CI739" s="83" t="s">
        <v>1358</v>
      </c>
      <c r="CJ739" s="83" t="s">
        <v>2726</v>
      </c>
      <c r="CK739" s="144">
        <v>0</v>
      </c>
      <c r="CL739"/>
    </row>
    <row r="740" spans="1:90">
      <c r="A740" s="83" t="s">
        <v>1605</v>
      </c>
      <c r="B740" s="83" t="s">
        <v>2835</v>
      </c>
      <c r="D740" s="83" t="s">
        <v>688</v>
      </c>
      <c r="E740" s="83" t="s">
        <v>2836</v>
      </c>
      <c r="F740" s="83" t="s">
        <v>1800</v>
      </c>
      <c r="G740" s="83" t="s">
        <v>1906</v>
      </c>
      <c r="H740" s="83" t="s">
        <v>1201</v>
      </c>
      <c r="I740" s="83" t="s">
        <v>1202</v>
      </c>
      <c r="J740" s="83" t="s">
        <v>1203</v>
      </c>
      <c r="K740" s="83" t="s">
        <v>565</v>
      </c>
      <c r="L740" s="83" t="s">
        <v>398</v>
      </c>
      <c r="M740" s="83" t="s">
        <v>399</v>
      </c>
      <c r="N740" s="83" t="s">
        <v>2709</v>
      </c>
      <c r="O740" s="83" t="s">
        <v>106</v>
      </c>
      <c r="P740" s="83">
        <v>8</v>
      </c>
      <c r="Q740" s="83" t="s">
        <v>106</v>
      </c>
      <c r="R740" s="83" t="s">
        <v>2691</v>
      </c>
      <c r="S740" s="83" t="s">
        <v>2804</v>
      </c>
      <c r="T740" s="83" t="s">
        <v>2703</v>
      </c>
      <c r="U740" s="83" t="s">
        <v>401</v>
      </c>
      <c r="AC740" s="83" t="s">
        <v>401</v>
      </c>
      <c r="AD740" s="83">
        <v>890000</v>
      </c>
      <c r="AF740" s="83">
        <v>0</v>
      </c>
      <c r="AJ740" s="83">
        <v>1</v>
      </c>
      <c r="AK740" s="83">
        <v>1</v>
      </c>
      <c r="AL740" s="83">
        <v>9220</v>
      </c>
      <c r="AM740" s="83" t="s">
        <v>2693</v>
      </c>
      <c r="BK740" s="83" t="s">
        <v>2694</v>
      </c>
      <c r="BL740" s="83" t="s">
        <v>2704</v>
      </c>
      <c r="BM740" s="83" t="s">
        <v>2697</v>
      </c>
      <c r="BN740" s="83" t="s">
        <v>2699</v>
      </c>
      <c r="BO740" s="83" t="s">
        <v>2699</v>
      </c>
      <c r="BP740" s="83" t="s">
        <v>2695</v>
      </c>
      <c r="BQ740" s="83" t="s">
        <v>2699</v>
      </c>
      <c r="BR740" s="83" t="s">
        <v>2693</v>
      </c>
      <c r="BS740" s="83" t="s">
        <v>2699</v>
      </c>
      <c r="BT740" s="83">
        <v>0</v>
      </c>
      <c r="BU740" s="83" t="s">
        <v>2699</v>
      </c>
      <c r="BV740" s="83" t="s">
        <v>2696</v>
      </c>
      <c r="BW740" s="83" t="s">
        <v>2698</v>
      </c>
      <c r="BX740" s="83" t="s">
        <v>2696</v>
      </c>
      <c r="BY740" s="83" t="s">
        <v>2699</v>
      </c>
      <c r="BZ740" s="83" t="s">
        <v>2699</v>
      </c>
      <c r="CA740" s="83" t="s">
        <v>2693</v>
      </c>
      <c r="CB740" s="83" t="s">
        <v>2694</v>
      </c>
      <c r="CC740" s="83" t="s">
        <v>2699</v>
      </c>
      <c r="CD740" s="83" t="s">
        <v>2696</v>
      </c>
      <c r="CF740" s="83" t="s">
        <v>2128</v>
      </c>
      <c r="CG740" s="83" t="s">
        <v>2129</v>
      </c>
      <c r="CH740" s="83" t="s">
        <v>2695</v>
      </c>
      <c r="CI740" s="83" t="s">
        <v>648</v>
      </c>
      <c r="CJ740" s="83" t="s">
        <v>2731</v>
      </c>
      <c r="CK740" s="144">
        <v>0</v>
      </c>
      <c r="CL740" s="99">
        <v>665000</v>
      </c>
    </row>
    <row r="741" spans="1:90" s="79" customFormat="1">
      <c r="A741" s="83" t="s">
        <v>827</v>
      </c>
      <c r="B741" s="83" t="s">
        <v>3557</v>
      </c>
      <c r="C741" s="83"/>
      <c r="D741" s="83" t="s">
        <v>688</v>
      </c>
      <c r="E741" s="83" t="s">
        <v>1013</v>
      </c>
      <c r="F741" s="83" t="s">
        <v>3425</v>
      </c>
      <c r="G741" s="83" t="s">
        <v>1155</v>
      </c>
      <c r="H741" s="83" t="s">
        <v>1201</v>
      </c>
      <c r="I741" s="83" t="s">
        <v>1202</v>
      </c>
      <c r="J741" s="83" t="s">
        <v>1203</v>
      </c>
      <c r="K741" s="83" t="s">
        <v>565</v>
      </c>
      <c r="L741" s="83" t="s">
        <v>398</v>
      </c>
      <c r="M741" s="83" t="s">
        <v>399</v>
      </c>
      <c r="N741" s="83" t="s">
        <v>3057</v>
      </c>
      <c r="O741" s="83" t="s">
        <v>106</v>
      </c>
      <c r="P741" s="83">
        <v>1</v>
      </c>
      <c r="Q741" s="83" t="s">
        <v>106</v>
      </c>
      <c r="R741" s="83" t="s">
        <v>2799</v>
      </c>
      <c r="S741" s="83" t="s">
        <v>2714</v>
      </c>
      <c r="T741" s="83" t="s">
        <v>2703</v>
      </c>
      <c r="U741" s="83" t="s">
        <v>401</v>
      </c>
      <c r="V741" s="97"/>
      <c r="W741" s="97"/>
      <c r="X741" s="97"/>
      <c r="Y741" s="97"/>
      <c r="Z741" s="97"/>
      <c r="AA741" s="97"/>
      <c r="AB741" s="97"/>
      <c r="AC741" s="83" t="s">
        <v>401</v>
      </c>
      <c r="AD741" s="83">
        <v>54000</v>
      </c>
      <c r="AE741" s="83"/>
      <c r="AF741" s="83">
        <v>20000</v>
      </c>
      <c r="AG741" s="83"/>
      <c r="AH741" s="83"/>
      <c r="AI741" s="83"/>
      <c r="AJ741" s="83">
        <v>1</v>
      </c>
      <c r="AK741" s="83">
        <v>1</v>
      </c>
      <c r="AL741" s="83">
        <v>736</v>
      </c>
      <c r="AM741" s="83" t="s">
        <v>2693</v>
      </c>
      <c r="AN741" s="83"/>
      <c r="AO741" s="83"/>
      <c r="AP741" s="83"/>
      <c r="AQ741" s="83"/>
      <c r="AR741" s="83"/>
      <c r="AS741" s="83"/>
      <c r="AT741" s="83"/>
      <c r="AU741" s="83"/>
      <c r="AV741" s="83"/>
      <c r="AW741" s="83"/>
      <c r="AX741" s="83"/>
      <c r="AY741" s="83"/>
      <c r="AZ741" s="83"/>
      <c r="BA741" s="83"/>
      <c r="BB741" s="83"/>
      <c r="BC741" s="83"/>
      <c r="BD741" s="83"/>
      <c r="BE741" s="83"/>
      <c r="BF741" s="83"/>
      <c r="BG741" s="83"/>
      <c r="BH741" s="83"/>
      <c r="BI741" s="83"/>
      <c r="BJ741" s="83"/>
      <c r="BK741" s="83" t="s">
        <v>2694</v>
      </c>
      <c r="BL741" s="83" t="s">
        <v>2704</v>
      </c>
      <c r="BM741" s="83" t="s">
        <v>2698</v>
      </c>
      <c r="BN741" s="83" t="s">
        <v>2696</v>
      </c>
      <c r="BO741" s="83" t="s">
        <v>2697</v>
      </c>
      <c r="BP741" s="83" t="s">
        <v>2698</v>
      </c>
      <c r="BQ741" s="83" t="s">
        <v>2699</v>
      </c>
      <c r="BR741" s="83" t="s">
        <v>2693</v>
      </c>
      <c r="BS741" s="83" t="s">
        <v>2699</v>
      </c>
      <c r="BT741" s="83" t="s">
        <v>2696</v>
      </c>
      <c r="BU741" s="83" t="s">
        <v>2699</v>
      </c>
      <c r="BV741" s="83" t="s">
        <v>2697</v>
      </c>
      <c r="BW741" s="83" t="s">
        <v>2697</v>
      </c>
      <c r="BX741" s="83" t="s">
        <v>2696</v>
      </c>
      <c r="BY741" s="83" t="s">
        <v>2693</v>
      </c>
      <c r="BZ741" s="83" t="s">
        <v>2699</v>
      </c>
      <c r="CA741" s="83" t="s">
        <v>2693</v>
      </c>
      <c r="CB741" s="83" t="s">
        <v>2694</v>
      </c>
      <c r="CC741" s="83" t="s">
        <v>2696</v>
      </c>
      <c r="CD741" s="83" t="s">
        <v>2696</v>
      </c>
      <c r="CE741" s="83"/>
      <c r="CF741" s="83" t="s">
        <v>1014</v>
      </c>
      <c r="CG741" s="83" t="s">
        <v>1015</v>
      </c>
      <c r="CH741" s="83" t="s">
        <v>2699</v>
      </c>
      <c r="CI741" s="83" t="s">
        <v>2699</v>
      </c>
      <c r="CJ741" s="83" t="s">
        <v>2734</v>
      </c>
      <c r="CK741" s="144">
        <v>0</v>
      </c>
      <c r="CL741"/>
    </row>
    <row r="742" spans="1:90" s="79" customFormat="1">
      <c r="A742" s="83" t="s">
        <v>1606</v>
      </c>
      <c r="B742" s="83" t="s">
        <v>1665</v>
      </c>
      <c r="C742" s="83"/>
      <c r="D742" s="83" t="s">
        <v>688</v>
      </c>
      <c r="E742" s="83" t="s">
        <v>1665</v>
      </c>
      <c r="F742" s="83" t="s">
        <v>1801</v>
      </c>
      <c r="G742" s="83" t="s">
        <v>1907</v>
      </c>
      <c r="H742" s="83" t="s">
        <v>1201</v>
      </c>
      <c r="I742" s="83" t="s">
        <v>1202</v>
      </c>
      <c r="J742" s="83" t="s">
        <v>1203</v>
      </c>
      <c r="K742" s="83" t="s">
        <v>565</v>
      </c>
      <c r="L742" s="83" t="s">
        <v>398</v>
      </c>
      <c r="M742" s="83" t="s">
        <v>399</v>
      </c>
      <c r="N742" s="83" t="s">
        <v>2743</v>
      </c>
      <c r="O742" s="83" t="s">
        <v>106</v>
      </c>
      <c r="P742" s="83">
        <v>4</v>
      </c>
      <c r="Q742" s="83" t="s">
        <v>106</v>
      </c>
      <c r="R742" s="83" t="s">
        <v>2694</v>
      </c>
      <c r="S742" s="83" t="s">
        <v>2712</v>
      </c>
      <c r="T742" s="83" t="s">
        <v>2775</v>
      </c>
      <c r="U742" s="83" t="s">
        <v>401</v>
      </c>
      <c r="V742" s="97"/>
      <c r="W742" s="97"/>
      <c r="X742" s="97"/>
      <c r="Y742" s="97"/>
      <c r="Z742" s="97"/>
      <c r="AA742" s="97"/>
      <c r="AB742" s="97"/>
      <c r="AC742" s="83" t="s">
        <v>401</v>
      </c>
      <c r="AD742" s="83">
        <v>113000</v>
      </c>
      <c r="AE742" s="83"/>
      <c r="AF742" s="83">
        <v>0</v>
      </c>
      <c r="AG742" s="83"/>
      <c r="AH742" s="83"/>
      <c r="AI742" s="83"/>
      <c r="AJ742" s="83">
        <v>1</v>
      </c>
      <c r="AK742" s="83">
        <v>1</v>
      </c>
      <c r="AL742" s="83">
        <v>1050</v>
      </c>
      <c r="AM742" s="83" t="s">
        <v>2693</v>
      </c>
      <c r="AN742" s="83"/>
      <c r="AO742" s="83"/>
      <c r="AP742" s="83"/>
      <c r="AQ742" s="83"/>
      <c r="AR742" s="83"/>
      <c r="AS742" s="83"/>
      <c r="AT742" s="83"/>
      <c r="AU742" s="83"/>
      <c r="AV742" s="83"/>
      <c r="AW742" s="83"/>
      <c r="AX742" s="83"/>
      <c r="AY742" s="83"/>
      <c r="AZ742" s="83"/>
      <c r="BA742" s="83"/>
      <c r="BB742" s="83"/>
      <c r="BC742" s="83"/>
      <c r="BD742" s="83"/>
      <c r="BE742" s="83"/>
      <c r="BF742" s="83"/>
      <c r="BG742" s="83"/>
      <c r="BH742" s="83"/>
      <c r="BI742" s="83"/>
      <c r="BJ742" s="83"/>
      <c r="BK742" s="83" t="s">
        <v>2694</v>
      </c>
      <c r="BL742" s="83" t="s">
        <v>2704</v>
      </c>
      <c r="BM742" s="83" t="s">
        <v>2698</v>
      </c>
      <c r="BN742" s="83" t="s">
        <v>2699</v>
      </c>
      <c r="BO742" s="83" t="s">
        <v>2697</v>
      </c>
      <c r="BP742" s="83" t="s">
        <v>2695</v>
      </c>
      <c r="BQ742" s="83" t="s">
        <v>2699</v>
      </c>
      <c r="BR742" s="83" t="s">
        <v>2693</v>
      </c>
      <c r="BS742" s="83" t="s">
        <v>2699</v>
      </c>
      <c r="BT742" s="83">
        <v>0</v>
      </c>
      <c r="BU742" s="83" t="s">
        <v>2699</v>
      </c>
      <c r="BV742" s="83" t="s">
        <v>2696</v>
      </c>
      <c r="BW742" s="83" t="s">
        <v>2699</v>
      </c>
      <c r="BX742" s="83" t="s">
        <v>2696</v>
      </c>
      <c r="BY742" s="83" t="s">
        <v>2699</v>
      </c>
      <c r="BZ742" s="83" t="s">
        <v>2693</v>
      </c>
      <c r="CA742" s="83" t="s">
        <v>2693</v>
      </c>
      <c r="CB742" s="83" t="s">
        <v>2694</v>
      </c>
      <c r="CC742" s="83" t="s">
        <v>2699</v>
      </c>
      <c r="CD742" s="83" t="s">
        <v>2696</v>
      </c>
      <c r="CE742" s="83"/>
      <c r="CF742" s="83" t="s">
        <v>2047</v>
      </c>
      <c r="CG742" s="83" t="s">
        <v>2048</v>
      </c>
      <c r="CH742" s="83" t="s">
        <v>2693</v>
      </c>
      <c r="CI742" s="83" t="s">
        <v>3992</v>
      </c>
      <c r="CJ742" s="83" t="s">
        <v>2701</v>
      </c>
      <c r="CK742" s="144">
        <v>0</v>
      </c>
      <c r="CL742"/>
    </row>
    <row r="743" spans="1:90" s="79" customFormat="1">
      <c r="A743" s="83" t="s">
        <v>2317</v>
      </c>
      <c r="B743" s="83" t="s">
        <v>987</v>
      </c>
      <c r="C743" s="83"/>
      <c r="D743" s="83" t="s">
        <v>688</v>
      </c>
      <c r="E743" s="83" t="s">
        <v>2649</v>
      </c>
      <c r="F743" s="83" t="s">
        <v>3231</v>
      </c>
      <c r="G743" s="83" t="s">
        <v>2298</v>
      </c>
      <c r="H743" s="83" t="s">
        <v>1201</v>
      </c>
      <c r="I743" s="83" t="s">
        <v>1202</v>
      </c>
      <c r="J743" s="83" t="s">
        <v>1203</v>
      </c>
      <c r="K743" s="83" t="s">
        <v>565</v>
      </c>
      <c r="L743" s="83" t="s">
        <v>398</v>
      </c>
      <c r="M743" s="83" t="s">
        <v>399</v>
      </c>
      <c r="N743" s="83" t="s">
        <v>3228</v>
      </c>
      <c r="O743" s="83" t="s">
        <v>106</v>
      </c>
      <c r="P743" s="83">
        <v>1</v>
      </c>
      <c r="Q743" s="83" t="s">
        <v>106</v>
      </c>
      <c r="R743" s="83" t="s">
        <v>2727</v>
      </c>
      <c r="S743" s="83" t="s">
        <v>2830</v>
      </c>
      <c r="T743" s="83" t="s">
        <v>2843</v>
      </c>
      <c r="U743" s="83" t="s">
        <v>401</v>
      </c>
      <c r="V743" s="97"/>
      <c r="W743" s="97"/>
      <c r="X743" s="97"/>
      <c r="Y743" s="97"/>
      <c r="Z743" s="97"/>
      <c r="AA743" s="97"/>
      <c r="AB743" s="97"/>
      <c r="AC743" s="83" t="s">
        <v>401</v>
      </c>
      <c r="AD743" s="83">
        <v>543000</v>
      </c>
      <c r="AE743" s="83"/>
      <c r="AF743" s="83">
        <v>0</v>
      </c>
      <c r="AG743" s="83"/>
      <c r="AH743" s="83"/>
      <c r="AI743" s="83"/>
      <c r="AJ743" s="83">
        <v>1</v>
      </c>
      <c r="AK743" s="83">
        <v>1</v>
      </c>
      <c r="AL743" s="83">
        <v>4721</v>
      </c>
      <c r="AM743" s="83" t="s">
        <v>2693</v>
      </c>
      <c r="AN743" s="83"/>
      <c r="AO743" s="83"/>
      <c r="AP743" s="83"/>
      <c r="AQ743" s="83"/>
      <c r="AR743" s="83"/>
      <c r="AS743" s="83"/>
      <c r="AT743" s="83"/>
      <c r="AU743" s="83"/>
      <c r="AV743" s="83"/>
      <c r="AW743" s="83"/>
      <c r="AX743" s="83"/>
      <c r="AY743" s="83"/>
      <c r="AZ743" s="83"/>
      <c r="BA743" s="83"/>
      <c r="BB743" s="83"/>
      <c r="BC743" s="83"/>
      <c r="BD743" s="83"/>
      <c r="BE743" s="83"/>
      <c r="BF743" s="83"/>
      <c r="BG743" s="83"/>
      <c r="BH743" s="83"/>
      <c r="BI743" s="83"/>
      <c r="BJ743" s="83"/>
      <c r="BK743" s="83" t="s">
        <v>2694</v>
      </c>
      <c r="BL743" s="83" t="s">
        <v>2693</v>
      </c>
      <c r="BM743" s="83" t="s">
        <v>2698</v>
      </c>
      <c r="BN743" s="83" t="s">
        <v>2698</v>
      </c>
      <c r="BO743" s="83" t="s">
        <v>2699</v>
      </c>
      <c r="BP743" s="83" t="s">
        <v>2697</v>
      </c>
      <c r="BQ743" s="83" t="s">
        <v>2699</v>
      </c>
      <c r="BR743" s="83" t="s">
        <v>2693</v>
      </c>
      <c r="BS743" s="83">
        <v>1</v>
      </c>
      <c r="BT743" s="83" t="s">
        <v>2696</v>
      </c>
      <c r="BU743" s="83" t="s">
        <v>2699</v>
      </c>
      <c r="BV743" s="83">
        <v>0</v>
      </c>
      <c r="BW743" s="83" t="s">
        <v>2693</v>
      </c>
      <c r="BX743" s="83">
        <v>0</v>
      </c>
      <c r="BY743" s="83">
        <v>1</v>
      </c>
      <c r="BZ743" s="83" t="s">
        <v>2693</v>
      </c>
      <c r="CA743" s="83" t="s">
        <v>2693</v>
      </c>
      <c r="CB743" s="83">
        <v>8</v>
      </c>
      <c r="CC743" s="83">
        <v>1</v>
      </c>
      <c r="CD743" s="83" t="s">
        <v>2699</v>
      </c>
      <c r="CE743" s="83"/>
      <c r="CF743" s="83" t="s">
        <v>3232</v>
      </c>
      <c r="CG743" s="83" t="s">
        <v>3233</v>
      </c>
      <c r="CH743" s="83" t="s">
        <v>2699</v>
      </c>
      <c r="CI743" s="83">
        <v>1</v>
      </c>
      <c r="CJ743" s="83" t="s">
        <v>2734</v>
      </c>
      <c r="CK743" s="144">
        <v>0</v>
      </c>
      <c r="CL743" s="99">
        <v>113000</v>
      </c>
    </row>
    <row r="744" spans="1:90" s="79" customFormat="1">
      <c r="A744" s="83" t="s">
        <v>779</v>
      </c>
      <c r="B744" s="83" t="s">
        <v>2434</v>
      </c>
      <c r="C744" s="83"/>
      <c r="D744" s="83" t="s">
        <v>688</v>
      </c>
      <c r="E744" s="83" t="s">
        <v>2435</v>
      </c>
      <c r="F744" s="83" t="s">
        <v>3425</v>
      </c>
      <c r="G744" s="83" t="s">
        <v>1155</v>
      </c>
      <c r="H744" s="83" t="s">
        <v>1201</v>
      </c>
      <c r="I744" s="83" t="s">
        <v>1202</v>
      </c>
      <c r="J744" s="83" t="s">
        <v>1203</v>
      </c>
      <c r="K744" s="83" t="s">
        <v>565</v>
      </c>
      <c r="L744" s="83" t="s">
        <v>398</v>
      </c>
      <c r="M744" s="83" t="s">
        <v>399</v>
      </c>
      <c r="N744" s="83" t="s">
        <v>3057</v>
      </c>
      <c r="O744" s="83" t="s">
        <v>106</v>
      </c>
      <c r="P744" s="83">
        <v>4</v>
      </c>
      <c r="Q744" s="83" t="s">
        <v>106</v>
      </c>
      <c r="R744" s="83" t="s">
        <v>2799</v>
      </c>
      <c r="S744" s="83" t="s">
        <v>2751</v>
      </c>
      <c r="T744" s="83" t="s">
        <v>2703</v>
      </c>
      <c r="U744" s="83" t="s">
        <v>401</v>
      </c>
      <c r="V744" s="97"/>
      <c r="W744" s="97"/>
      <c r="X744" s="97"/>
      <c r="Y744" s="97"/>
      <c r="Z744" s="97"/>
      <c r="AA744" s="97"/>
      <c r="AB744" s="97"/>
      <c r="AC744" s="83" t="s">
        <v>401</v>
      </c>
      <c r="AD744" s="83">
        <v>354000</v>
      </c>
      <c r="AE744" s="83"/>
      <c r="AF744" s="83">
        <v>47000</v>
      </c>
      <c r="AG744" s="83"/>
      <c r="AH744" s="83"/>
      <c r="AI744" s="83"/>
      <c r="AJ744" s="83">
        <v>1</v>
      </c>
      <c r="AK744" s="83">
        <v>1</v>
      </c>
      <c r="AL744" s="83">
        <v>7790</v>
      </c>
      <c r="AM744" s="83" t="s">
        <v>2693</v>
      </c>
      <c r="AN744" s="83"/>
      <c r="AO744" s="83"/>
      <c r="AP744" s="83"/>
      <c r="AQ744" s="83"/>
      <c r="AR744" s="83"/>
      <c r="AS744" s="83"/>
      <c r="AT744" s="83"/>
      <c r="AU744" s="83"/>
      <c r="AV744" s="83"/>
      <c r="AW744" s="83"/>
      <c r="AX744" s="83"/>
      <c r="AY744" s="83"/>
      <c r="AZ744" s="83"/>
      <c r="BA744" s="83"/>
      <c r="BB744" s="83"/>
      <c r="BC744" s="83"/>
      <c r="BD744" s="83"/>
      <c r="BE744" s="83"/>
      <c r="BF744" s="83"/>
      <c r="BG744" s="83"/>
      <c r="BH744" s="83"/>
      <c r="BI744" s="83"/>
      <c r="BJ744" s="83"/>
      <c r="BK744" s="83" t="s">
        <v>2694</v>
      </c>
      <c r="BL744" s="83" t="s">
        <v>2704</v>
      </c>
      <c r="BM744" s="83" t="s">
        <v>2698</v>
      </c>
      <c r="BN744" s="83" t="s">
        <v>2698</v>
      </c>
      <c r="BO744" s="83" t="s">
        <v>2697</v>
      </c>
      <c r="BP744" s="83" t="s">
        <v>2695</v>
      </c>
      <c r="BQ744" s="83" t="s">
        <v>2699</v>
      </c>
      <c r="BR744" s="83" t="s">
        <v>2693</v>
      </c>
      <c r="BS744" s="83" t="s">
        <v>2699</v>
      </c>
      <c r="BT744" s="83" t="s">
        <v>2696</v>
      </c>
      <c r="BU744" s="83" t="s">
        <v>2699</v>
      </c>
      <c r="BV744" s="83" t="s">
        <v>2697</v>
      </c>
      <c r="BW744" s="83" t="s">
        <v>2698</v>
      </c>
      <c r="BX744" s="83" t="s">
        <v>2696</v>
      </c>
      <c r="BY744" s="83" t="s">
        <v>2699</v>
      </c>
      <c r="BZ744" s="83" t="s">
        <v>2699</v>
      </c>
      <c r="CA744" s="83" t="s">
        <v>2693</v>
      </c>
      <c r="CB744" s="83" t="s">
        <v>2694</v>
      </c>
      <c r="CC744" s="83" t="s">
        <v>2699</v>
      </c>
      <c r="CD744" s="83" t="s">
        <v>2696</v>
      </c>
      <c r="CE744" s="83"/>
      <c r="CF744" s="83" t="s">
        <v>780</v>
      </c>
      <c r="CG744" s="83" t="s">
        <v>781</v>
      </c>
      <c r="CH744" s="83" t="s">
        <v>2693</v>
      </c>
      <c r="CI744" s="83" t="s">
        <v>3992</v>
      </c>
      <c r="CJ744" s="83" t="s">
        <v>2701</v>
      </c>
      <c r="CK744" s="144">
        <v>0</v>
      </c>
      <c r="CL744"/>
    </row>
    <row r="745" spans="1:90">
      <c r="A745" s="83" t="s">
        <v>862</v>
      </c>
      <c r="B745" s="83" t="s">
        <v>2436</v>
      </c>
      <c r="D745" s="83" t="s">
        <v>688</v>
      </c>
      <c r="E745" s="83" t="s">
        <v>863</v>
      </c>
      <c r="F745" s="83" t="s">
        <v>3425</v>
      </c>
      <c r="G745" s="83" t="s">
        <v>1155</v>
      </c>
      <c r="H745" s="83" t="s">
        <v>1201</v>
      </c>
      <c r="I745" s="83" t="s">
        <v>1202</v>
      </c>
      <c r="J745" s="83" t="s">
        <v>1203</v>
      </c>
      <c r="K745" s="83" t="s">
        <v>565</v>
      </c>
      <c r="L745" s="83" t="s">
        <v>398</v>
      </c>
      <c r="M745" s="83" t="s">
        <v>399</v>
      </c>
      <c r="N745" s="83" t="s">
        <v>3057</v>
      </c>
      <c r="O745" s="83" t="s">
        <v>106</v>
      </c>
      <c r="P745" s="83">
        <v>9</v>
      </c>
      <c r="Q745" s="83" t="s">
        <v>106</v>
      </c>
      <c r="R745" s="83" t="s">
        <v>2799</v>
      </c>
      <c r="S745" s="83" t="s">
        <v>2714</v>
      </c>
      <c r="T745" s="83" t="s">
        <v>2703</v>
      </c>
      <c r="U745" s="83" t="s">
        <v>401</v>
      </c>
      <c r="AC745" s="83" t="s">
        <v>401</v>
      </c>
      <c r="AD745" s="83">
        <v>143000</v>
      </c>
      <c r="AF745" s="83">
        <v>39000</v>
      </c>
      <c r="AJ745" s="83">
        <v>1</v>
      </c>
      <c r="AK745" s="83">
        <v>1</v>
      </c>
      <c r="AL745" s="83">
        <v>4194</v>
      </c>
      <c r="AM745" s="83" t="s">
        <v>2693</v>
      </c>
      <c r="BK745" s="83" t="s">
        <v>2694</v>
      </c>
      <c r="BL745" s="83" t="s">
        <v>2693</v>
      </c>
      <c r="BM745" s="83" t="s">
        <v>2698</v>
      </c>
      <c r="BN745" s="83" t="s">
        <v>2698</v>
      </c>
      <c r="BO745" s="83" t="s">
        <v>2697</v>
      </c>
      <c r="BP745" s="83" t="s">
        <v>2697</v>
      </c>
      <c r="BQ745" s="83" t="s">
        <v>2699</v>
      </c>
      <c r="BR745" s="83" t="s">
        <v>2693</v>
      </c>
      <c r="BS745" s="83" t="s">
        <v>2699</v>
      </c>
      <c r="BT745" s="83" t="s">
        <v>2696</v>
      </c>
      <c r="BU745" s="83" t="s">
        <v>2699</v>
      </c>
      <c r="BV745" s="83" t="s">
        <v>2697</v>
      </c>
      <c r="BW745" s="83" t="s">
        <v>2698</v>
      </c>
      <c r="BX745" s="83" t="s">
        <v>2696</v>
      </c>
      <c r="BY745" s="83" t="s">
        <v>2699</v>
      </c>
      <c r="BZ745" s="83" t="s">
        <v>2699</v>
      </c>
      <c r="CA745" s="83" t="s">
        <v>2693</v>
      </c>
      <c r="CB745" s="83" t="s">
        <v>2694</v>
      </c>
      <c r="CC745" s="83" t="s">
        <v>2696</v>
      </c>
      <c r="CD745" s="83" t="s">
        <v>2696</v>
      </c>
      <c r="CF745" s="83" t="s">
        <v>864</v>
      </c>
      <c r="CG745" s="83" t="s">
        <v>865</v>
      </c>
      <c r="CH745" s="83" t="s">
        <v>2697</v>
      </c>
      <c r="CI745" s="83" t="s">
        <v>648</v>
      </c>
      <c r="CJ745" s="83" t="s">
        <v>2757</v>
      </c>
      <c r="CK745" s="144">
        <v>0</v>
      </c>
      <c r="CL745"/>
    </row>
    <row r="746" spans="1:90">
      <c r="A746" s="83" t="s">
        <v>1478</v>
      </c>
      <c r="B746" s="83" t="s">
        <v>2837</v>
      </c>
      <c r="D746" s="83" t="s">
        <v>688</v>
      </c>
      <c r="E746" s="83" t="s">
        <v>2837</v>
      </c>
      <c r="F746" s="83" t="s">
        <v>1802</v>
      </c>
      <c r="G746" s="83" t="s">
        <v>1908</v>
      </c>
      <c r="H746" s="83" t="s">
        <v>1201</v>
      </c>
      <c r="I746" s="83" t="s">
        <v>1202</v>
      </c>
      <c r="J746" s="83" t="s">
        <v>1203</v>
      </c>
      <c r="K746" s="83" t="s">
        <v>565</v>
      </c>
      <c r="L746" s="83" t="s">
        <v>398</v>
      </c>
      <c r="M746" s="83" t="s">
        <v>399</v>
      </c>
      <c r="N746" s="83" t="s">
        <v>2709</v>
      </c>
      <c r="O746" s="83" t="s">
        <v>106</v>
      </c>
      <c r="P746" s="83">
        <v>4</v>
      </c>
      <c r="Q746" s="83" t="s">
        <v>106</v>
      </c>
      <c r="R746" s="83" t="s">
        <v>2753</v>
      </c>
      <c r="S746" s="83" t="s">
        <v>2720</v>
      </c>
      <c r="T746" s="83" t="s">
        <v>2714</v>
      </c>
      <c r="U746" s="83" t="s">
        <v>401</v>
      </c>
      <c r="AC746" s="83" t="s">
        <v>401</v>
      </c>
      <c r="AD746" s="83">
        <v>247000</v>
      </c>
      <c r="AF746" s="83">
        <v>58000</v>
      </c>
      <c r="AJ746" s="83">
        <v>1</v>
      </c>
      <c r="AK746" s="83">
        <v>2</v>
      </c>
      <c r="AL746" s="83">
        <v>1920</v>
      </c>
      <c r="AM746" s="83" t="s">
        <v>2693</v>
      </c>
      <c r="BK746" s="83" t="s">
        <v>2694</v>
      </c>
      <c r="BL746" s="83" t="s">
        <v>2698</v>
      </c>
      <c r="BM746" s="83" t="s">
        <v>2698</v>
      </c>
      <c r="BN746" s="83" t="s">
        <v>2696</v>
      </c>
      <c r="BO746" s="83" t="s">
        <v>2697</v>
      </c>
      <c r="BP746" s="83" t="s">
        <v>2695</v>
      </c>
      <c r="BQ746" s="83" t="s">
        <v>2693</v>
      </c>
      <c r="BR746" s="83" t="s">
        <v>2693</v>
      </c>
      <c r="BS746" s="83" t="s">
        <v>2699</v>
      </c>
      <c r="BT746" s="83">
        <v>0</v>
      </c>
      <c r="BU746" s="83" t="s">
        <v>2699</v>
      </c>
      <c r="BV746" s="83" t="s">
        <v>2696</v>
      </c>
      <c r="BW746" s="83" t="s">
        <v>2699</v>
      </c>
      <c r="BX746" s="83" t="s">
        <v>2696</v>
      </c>
      <c r="BY746" s="83" t="s">
        <v>2699</v>
      </c>
      <c r="BZ746" s="83" t="s">
        <v>2693</v>
      </c>
      <c r="CA746" s="83" t="s">
        <v>2693</v>
      </c>
      <c r="CB746" s="83" t="s">
        <v>2694</v>
      </c>
      <c r="CC746" s="83" t="s">
        <v>2699</v>
      </c>
      <c r="CD746" s="83" t="s">
        <v>2696</v>
      </c>
      <c r="CF746" s="83" t="s">
        <v>2036</v>
      </c>
      <c r="CG746" s="83" t="s">
        <v>2037</v>
      </c>
      <c r="CH746" s="83" t="s">
        <v>2693</v>
      </c>
      <c r="CI746" s="83" t="s">
        <v>3992</v>
      </c>
      <c r="CJ746" s="83" t="s">
        <v>2701</v>
      </c>
      <c r="CK746" s="144">
        <v>0</v>
      </c>
      <c r="CL746"/>
    </row>
    <row r="747" spans="1:90">
      <c r="A747" s="83" t="s">
        <v>1607</v>
      </c>
      <c r="B747" s="83" t="s">
        <v>2838</v>
      </c>
      <c r="D747" s="83" t="s">
        <v>688</v>
      </c>
      <c r="E747" s="83" t="s">
        <v>2839</v>
      </c>
      <c r="F747" s="83" t="s">
        <v>1803</v>
      </c>
      <c r="G747" s="83" t="s">
        <v>1298</v>
      </c>
      <c r="H747" s="83" t="s">
        <v>1201</v>
      </c>
      <c r="I747" s="83" t="s">
        <v>1202</v>
      </c>
      <c r="J747" s="83" t="s">
        <v>1203</v>
      </c>
      <c r="K747" s="83" t="s">
        <v>565</v>
      </c>
      <c r="L747" s="83" t="s">
        <v>398</v>
      </c>
      <c r="M747" s="83" t="s">
        <v>399</v>
      </c>
      <c r="N747" s="83" t="s">
        <v>2752</v>
      </c>
      <c r="O747" s="83" t="s">
        <v>106</v>
      </c>
      <c r="P747" s="83">
        <v>8</v>
      </c>
      <c r="Q747" s="83" t="s">
        <v>106</v>
      </c>
      <c r="R747" s="83" t="s">
        <v>2697</v>
      </c>
      <c r="S747" s="83" t="s">
        <v>2840</v>
      </c>
      <c r="T747" s="83" t="s">
        <v>1461</v>
      </c>
      <c r="U747" s="83" t="s">
        <v>401</v>
      </c>
      <c r="AC747" s="83" t="s">
        <v>401</v>
      </c>
      <c r="AD747" s="83">
        <v>5656000</v>
      </c>
      <c r="AF747" s="83">
        <v>0</v>
      </c>
      <c r="AJ747" s="83">
        <v>1</v>
      </c>
      <c r="AK747" s="83">
        <v>2</v>
      </c>
      <c r="AL747" s="83">
        <v>44275</v>
      </c>
      <c r="AM747" s="83" t="s">
        <v>2693</v>
      </c>
      <c r="BK747" s="83" t="s">
        <v>2694</v>
      </c>
      <c r="BL747" s="83" t="s">
        <v>2697</v>
      </c>
      <c r="BM747" s="83" t="s">
        <v>2699</v>
      </c>
      <c r="BN747" s="83" t="s">
        <v>2698</v>
      </c>
      <c r="BO747" s="83" t="s">
        <v>2699</v>
      </c>
      <c r="BP747" s="83" t="s">
        <v>2697</v>
      </c>
      <c r="BQ747" s="83" t="s">
        <v>2693</v>
      </c>
      <c r="BR747" s="83" t="s">
        <v>2699</v>
      </c>
      <c r="BS747" s="83" t="s">
        <v>2699</v>
      </c>
      <c r="BT747" s="83">
        <v>0</v>
      </c>
      <c r="BU747" s="83" t="s">
        <v>2699</v>
      </c>
      <c r="BV747" s="83" t="s">
        <v>2696</v>
      </c>
      <c r="BW747" s="83" t="s">
        <v>2695</v>
      </c>
      <c r="BX747" s="83" t="s">
        <v>2696</v>
      </c>
      <c r="BY747" s="83" t="s">
        <v>2699</v>
      </c>
      <c r="BZ747" s="83" t="s">
        <v>2699</v>
      </c>
      <c r="CA747" s="83" t="s">
        <v>2693</v>
      </c>
      <c r="CB747" s="83" t="s">
        <v>2730</v>
      </c>
      <c r="CC747" s="83" t="s">
        <v>2699</v>
      </c>
      <c r="CD747" s="83" t="s">
        <v>2699</v>
      </c>
      <c r="CF747" s="83" t="s">
        <v>2117</v>
      </c>
      <c r="CG747" s="83" t="s">
        <v>2118</v>
      </c>
      <c r="CH747" s="83" t="s">
        <v>2695</v>
      </c>
      <c r="CI747" s="83" t="s">
        <v>648</v>
      </c>
      <c r="CJ747" s="83" t="s">
        <v>2731</v>
      </c>
      <c r="CK747" s="144">
        <v>2</v>
      </c>
      <c r="CL747"/>
    </row>
    <row r="748" spans="1:90">
      <c r="A748" s="83" t="s">
        <v>1607</v>
      </c>
      <c r="B748" s="83" t="s">
        <v>2838</v>
      </c>
      <c r="D748" s="83" t="s">
        <v>673</v>
      </c>
      <c r="E748" s="83" t="s">
        <v>689</v>
      </c>
      <c r="F748" s="83" t="s">
        <v>1803</v>
      </c>
      <c r="G748" s="83" t="s">
        <v>1298</v>
      </c>
      <c r="H748" s="83" t="s">
        <v>1201</v>
      </c>
      <c r="I748" s="83" t="s">
        <v>1202</v>
      </c>
      <c r="J748" s="83" t="s">
        <v>1203</v>
      </c>
      <c r="K748" s="83" t="s">
        <v>565</v>
      </c>
      <c r="L748" s="83" t="s">
        <v>398</v>
      </c>
      <c r="M748" s="83" t="s">
        <v>399</v>
      </c>
      <c r="N748" s="83" t="s">
        <v>2752</v>
      </c>
      <c r="O748" s="83" t="s">
        <v>106</v>
      </c>
      <c r="P748" s="83">
        <v>8</v>
      </c>
      <c r="Q748" s="83" t="s">
        <v>106</v>
      </c>
      <c r="R748" s="83" t="s">
        <v>2730</v>
      </c>
      <c r="S748" s="83" t="s">
        <v>2841</v>
      </c>
      <c r="T748" s="83" t="s">
        <v>2703</v>
      </c>
      <c r="U748" s="83" t="s">
        <v>401</v>
      </c>
      <c r="AC748" s="83" t="s">
        <v>401</v>
      </c>
      <c r="AD748" s="83">
        <v>2162000</v>
      </c>
      <c r="AF748" s="83">
        <v>0</v>
      </c>
      <c r="AJ748" s="83">
        <v>1</v>
      </c>
      <c r="AK748" s="83">
        <v>2</v>
      </c>
      <c r="AL748" s="83">
        <v>16451</v>
      </c>
      <c r="AM748" s="83" t="s">
        <v>2693</v>
      </c>
      <c r="BK748" s="83" t="s">
        <v>2694</v>
      </c>
      <c r="BL748" s="83" t="s">
        <v>2697</v>
      </c>
      <c r="BM748" s="83" t="s">
        <v>2699</v>
      </c>
      <c r="BN748" s="83" t="s">
        <v>2698</v>
      </c>
      <c r="BO748" s="83" t="s">
        <v>2699</v>
      </c>
      <c r="BP748" s="83" t="s">
        <v>2697</v>
      </c>
      <c r="BQ748" s="83" t="s">
        <v>2693</v>
      </c>
      <c r="BR748" s="83" t="s">
        <v>2699</v>
      </c>
      <c r="BS748" s="83" t="s">
        <v>2699</v>
      </c>
      <c r="BT748" s="83">
        <v>0</v>
      </c>
      <c r="BU748" s="83" t="s">
        <v>2699</v>
      </c>
      <c r="BV748" s="83" t="s">
        <v>2696</v>
      </c>
      <c r="BW748" s="83" t="s">
        <v>2695</v>
      </c>
      <c r="BX748" s="83" t="s">
        <v>2696</v>
      </c>
      <c r="BY748" s="83" t="s">
        <v>2699</v>
      </c>
      <c r="BZ748" s="83" t="s">
        <v>2693</v>
      </c>
      <c r="CA748" s="83" t="s">
        <v>2693</v>
      </c>
      <c r="CB748" s="83" t="s">
        <v>2694</v>
      </c>
      <c r="CC748" s="83" t="s">
        <v>2699</v>
      </c>
      <c r="CD748" s="83" t="s">
        <v>2699</v>
      </c>
      <c r="CF748" s="83" t="s">
        <v>2119</v>
      </c>
      <c r="CG748" s="83" t="s">
        <v>2120</v>
      </c>
      <c r="CH748" s="83" t="s">
        <v>2695</v>
      </c>
      <c r="CI748" s="83" t="s">
        <v>648</v>
      </c>
      <c r="CJ748" s="83" t="s">
        <v>2731</v>
      </c>
      <c r="CK748" s="144">
        <v>0</v>
      </c>
      <c r="CL748"/>
    </row>
    <row r="749" spans="1:90">
      <c r="A749" s="83" t="s">
        <v>1607</v>
      </c>
      <c r="B749" s="83" t="s">
        <v>2838</v>
      </c>
      <c r="D749" s="83" t="s">
        <v>714</v>
      </c>
      <c r="E749" s="83" t="s">
        <v>2842</v>
      </c>
      <c r="F749" s="83" t="s">
        <v>1803</v>
      </c>
      <c r="G749" s="83" t="s">
        <v>1298</v>
      </c>
      <c r="H749" s="83" t="s">
        <v>1201</v>
      </c>
      <c r="I749" s="83" t="s">
        <v>1202</v>
      </c>
      <c r="J749" s="83" t="s">
        <v>1203</v>
      </c>
      <c r="K749" s="83" t="s">
        <v>565</v>
      </c>
      <c r="L749" s="83" t="s">
        <v>398</v>
      </c>
      <c r="M749" s="83" t="s">
        <v>399</v>
      </c>
      <c r="N749" s="83" t="s">
        <v>2752</v>
      </c>
      <c r="O749" s="83" t="s">
        <v>106</v>
      </c>
      <c r="P749" s="83">
        <v>4</v>
      </c>
      <c r="Q749" s="83" t="s">
        <v>106</v>
      </c>
      <c r="R749" s="83" t="s">
        <v>2767</v>
      </c>
      <c r="S749" s="83" t="s">
        <v>2775</v>
      </c>
      <c r="T749" s="83" t="s">
        <v>2703</v>
      </c>
      <c r="U749" s="83" t="s">
        <v>401</v>
      </c>
      <c r="AC749" s="83" t="s">
        <v>401</v>
      </c>
      <c r="AD749" s="83">
        <v>242000</v>
      </c>
      <c r="AF749" s="83">
        <v>0</v>
      </c>
      <c r="AJ749" s="83">
        <v>1</v>
      </c>
      <c r="AK749" s="83">
        <v>1</v>
      </c>
      <c r="AL749" s="83">
        <v>2208</v>
      </c>
      <c r="AM749" s="83" t="s">
        <v>2693</v>
      </c>
      <c r="BK749" s="83" t="s">
        <v>2694</v>
      </c>
      <c r="BL749" s="83" t="s">
        <v>2704</v>
      </c>
      <c r="BM749" s="83" t="s">
        <v>2695</v>
      </c>
      <c r="BN749" s="83" t="s">
        <v>2699</v>
      </c>
      <c r="BO749" s="83" t="s">
        <v>2693</v>
      </c>
      <c r="BP749" s="83" t="s">
        <v>2698</v>
      </c>
      <c r="BQ749" s="83" t="s">
        <v>2693</v>
      </c>
      <c r="BR749" s="83" t="s">
        <v>2693</v>
      </c>
      <c r="BS749" s="83" t="s">
        <v>2699</v>
      </c>
      <c r="BT749" s="83">
        <v>0</v>
      </c>
      <c r="BU749" s="83" t="s">
        <v>2699</v>
      </c>
      <c r="BV749" s="83" t="s">
        <v>2696</v>
      </c>
      <c r="BW749" s="83" t="s">
        <v>2695</v>
      </c>
      <c r="BX749" s="83" t="s">
        <v>2696</v>
      </c>
      <c r="BY749" s="83" t="s">
        <v>2699</v>
      </c>
      <c r="BZ749" s="83" t="s">
        <v>2693</v>
      </c>
      <c r="CA749" s="83" t="s">
        <v>2693</v>
      </c>
      <c r="CB749" s="83" t="s">
        <v>2694</v>
      </c>
      <c r="CC749" s="83" t="s">
        <v>2699</v>
      </c>
      <c r="CD749" s="83" t="s">
        <v>2696</v>
      </c>
      <c r="CF749" s="83" t="s">
        <v>2121</v>
      </c>
      <c r="CG749" s="83" t="s">
        <v>2122</v>
      </c>
      <c r="CH749" s="83" t="s">
        <v>2693</v>
      </c>
      <c r="CI749" s="83" t="s">
        <v>3992</v>
      </c>
      <c r="CJ749" s="83" t="s">
        <v>2701</v>
      </c>
      <c r="CK749" s="144">
        <v>0</v>
      </c>
      <c r="CL749"/>
    </row>
    <row r="750" spans="1:90">
      <c r="A750" s="83" t="s">
        <v>830</v>
      </c>
      <c r="B750" s="83" t="s">
        <v>2437</v>
      </c>
      <c r="D750" s="83" t="s">
        <v>688</v>
      </c>
      <c r="E750" s="83" t="s">
        <v>831</v>
      </c>
      <c r="F750" s="83" t="s">
        <v>3425</v>
      </c>
      <c r="G750" s="83" t="s">
        <v>1155</v>
      </c>
      <c r="H750" s="83" t="s">
        <v>1201</v>
      </c>
      <c r="I750" s="83" t="s">
        <v>1202</v>
      </c>
      <c r="J750" s="83" t="s">
        <v>1203</v>
      </c>
      <c r="K750" s="83" t="s">
        <v>565</v>
      </c>
      <c r="L750" s="83" t="s">
        <v>398</v>
      </c>
      <c r="M750" s="83" t="s">
        <v>399</v>
      </c>
      <c r="N750" s="83" t="s">
        <v>3057</v>
      </c>
      <c r="O750" s="83" t="s">
        <v>106</v>
      </c>
      <c r="P750" s="83">
        <v>9</v>
      </c>
      <c r="Q750" s="83" t="s">
        <v>106</v>
      </c>
      <c r="R750" s="83" t="s">
        <v>2799</v>
      </c>
      <c r="S750" s="83" t="s">
        <v>2714</v>
      </c>
      <c r="T750" s="83" t="s">
        <v>2703</v>
      </c>
      <c r="U750" s="83" t="s">
        <v>401</v>
      </c>
      <c r="AC750" s="83" t="s">
        <v>401</v>
      </c>
      <c r="AD750" s="83">
        <v>258000</v>
      </c>
      <c r="AF750" s="83">
        <v>33000</v>
      </c>
      <c r="AJ750" s="83">
        <v>1</v>
      </c>
      <c r="AK750" s="83">
        <v>1</v>
      </c>
      <c r="AL750" s="83">
        <v>3157</v>
      </c>
      <c r="AM750" s="83" t="s">
        <v>2693</v>
      </c>
      <c r="BK750" s="83" t="s">
        <v>2694</v>
      </c>
      <c r="BL750" s="83" t="s">
        <v>2693</v>
      </c>
      <c r="BM750" s="83" t="s">
        <v>2698</v>
      </c>
      <c r="BN750" s="83" t="s">
        <v>2698</v>
      </c>
      <c r="BO750" s="83" t="s">
        <v>2697</v>
      </c>
      <c r="BP750" s="83" t="s">
        <v>2697</v>
      </c>
      <c r="BQ750" s="83" t="s">
        <v>2699</v>
      </c>
      <c r="BR750" s="83" t="s">
        <v>2693</v>
      </c>
      <c r="BS750" s="83" t="s">
        <v>2699</v>
      </c>
      <c r="BT750" s="83" t="s">
        <v>2696</v>
      </c>
      <c r="BU750" s="83" t="s">
        <v>2699</v>
      </c>
      <c r="BV750" s="83" t="s">
        <v>2697</v>
      </c>
      <c r="BW750" s="83" t="s">
        <v>2698</v>
      </c>
      <c r="BX750" s="83" t="s">
        <v>2696</v>
      </c>
      <c r="BY750" s="83" t="s">
        <v>2699</v>
      </c>
      <c r="BZ750" s="83" t="s">
        <v>2699</v>
      </c>
      <c r="CA750" s="83" t="s">
        <v>2693</v>
      </c>
      <c r="CB750" s="83" t="s">
        <v>2694</v>
      </c>
      <c r="CC750" s="83" t="s">
        <v>2696</v>
      </c>
      <c r="CD750" s="83" t="s">
        <v>2696</v>
      </c>
      <c r="CF750" s="83" t="s">
        <v>832</v>
      </c>
      <c r="CG750" s="83" t="s">
        <v>833</v>
      </c>
      <c r="CH750" s="83" t="s">
        <v>2697</v>
      </c>
      <c r="CI750" s="83" t="s">
        <v>648</v>
      </c>
      <c r="CJ750" s="83" t="s">
        <v>2757</v>
      </c>
      <c r="CK750" s="144">
        <v>5</v>
      </c>
      <c r="CL750"/>
    </row>
    <row r="751" spans="1:90">
      <c r="A751" s="83" t="s">
        <v>782</v>
      </c>
      <c r="B751" s="83" t="s">
        <v>2438</v>
      </c>
      <c r="D751" s="83" t="s">
        <v>688</v>
      </c>
      <c r="E751" s="83" t="s">
        <v>817</v>
      </c>
      <c r="F751" s="83" t="s">
        <v>3425</v>
      </c>
      <c r="G751" s="83" t="s">
        <v>1155</v>
      </c>
      <c r="H751" s="83" t="s">
        <v>1201</v>
      </c>
      <c r="I751" s="83" t="s">
        <v>1202</v>
      </c>
      <c r="J751" s="83" t="s">
        <v>1203</v>
      </c>
      <c r="K751" s="83" t="s">
        <v>565</v>
      </c>
      <c r="L751" s="83" t="s">
        <v>398</v>
      </c>
      <c r="M751" s="83" t="s">
        <v>399</v>
      </c>
      <c r="N751" s="83" t="s">
        <v>3057</v>
      </c>
      <c r="O751" s="83" t="s">
        <v>106</v>
      </c>
      <c r="P751" s="83">
        <v>4</v>
      </c>
      <c r="Q751" s="83" t="s">
        <v>106</v>
      </c>
      <c r="R751" s="83" t="s">
        <v>2799</v>
      </c>
      <c r="S751" s="83" t="s">
        <v>2751</v>
      </c>
      <c r="T751" s="83" t="s">
        <v>2703</v>
      </c>
      <c r="U751" s="83" t="s">
        <v>401</v>
      </c>
      <c r="AC751" s="83" t="s">
        <v>401</v>
      </c>
      <c r="AD751" s="83">
        <v>126000</v>
      </c>
      <c r="AF751" s="83">
        <v>0</v>
      </c>
      <c r="AJ751" s="83">
        <v>1</v>
      </c>
      <c r="AK751" s="83">
        <v>1</v>
      </c>
      <c r="AL751" s="83">
        <v>2540</v>
      </c>
      <c r="AM751" s="83" t="s">
        <v>2693</v>
      </c>
      <c r="BK751" s="83" t="s">
        <v>2694</v>
      </c>
      <c r="BL751" s="83" t="s">
        <v>2704</v>
      </c>
      <c r="BM751" s="83" t="s">
        <v>2725</v>
      </c>
      <c r="BN751" s="83" t="s">
        <v>2698</v>
      </c>
      <c r="BO751" s="83" t="s">
        <v>2697</v>
      </c>
      <c r="BP751" s="83" t="s">
        <v>2695</v>
      </c>
      <c r="BQ751" s="83" t="s">
        <v>2699</v>
      </c>
      <c r="BR751" s="83" t="s">
        <v>2693</v>
      </c>
      <c r="BS751" s="83" t="s">
        <v>2699</v>
      </c>
      <c r="BT751" s="83" t="s">
        <v>2696</v>
      </c>
      <c r="BU751" s="83" t="s">
        <v>2699</v>
      </c>
      <c r="BV751" s="83" t="s">
        <v>2697</v>
      </c>
      <c r="BW751" s="83" t="s">
        <v>2698</v>
      </c>
      <c r="BX751" s="83" t="s">
        <v>2696</v>
      </c>
      <c r="BY751" s="83" t="s">
        <v>2699</v>
      </c>
      <c r="BZ751" s="83" t="s">
        <v>2699</v>
      </c>
      <c r="CA751" s="83" t="s">
        <v>2693</v>
      </c>
      <c r="CB751" s="83" t="s">
        <v>2694</v>
      </c>
      <c r="CC751" s="83" t="s">
        <v>2696</v>
      </c>
      <c r="CD751" s="83" t="s">
        <v>2696</v>
      </c>
      <c r="CF751" s="83" t="s">
        <v>818</v>
      </c>
      <c r="CG751" s="83" t="s">
        <v>819</v>
      </c>
      <c r="CH751" s="83" t="s">
        <v>2693</v>
      </c>
      <c r="CI751" s="83" t="s">
        <v>3992</v>
      </c>
      <c r="CJ751" s="83" t="s">
        <v>2701</v>
      </c>
      <c r="CK751" s="144">
        <v>3</v>
      </c>
      <c r="CL751"/>
    </row>
    <row r="752" spans="1:90">
      <c r="A752" s="83" t="s">
        <v>782</v>
      </c>
      <c r="B752" s="83" t="s">
        <v>2438</v>
      </c>
      <c r="D752" s="83" t="s">
        <v>673</v>
      </c>
      <c r="E752" s="83" t="s">
        <v>785</v>
      </c>
      <c r="F752" s="83" t="s">
        <v>3425</v>
      </c>
      <c r="G752" s="83" t="s">
        <v>1155</v>
      </c>
      <c r="H752" s="83" t="s">
        <v>1201</v>
      </c>
      <c r="I752" s="83" t="s">
        <v>1202</v>
      </c>
      <c r="J752" s="83" t="s">
        <v>1203</v>
      </c>
      <c r="K752" s="83" t="s">
        <v>565</v>
      </c>
      <c r="L752" s="83" t="s">
        <v>398</v>
      </c>
      <c r="M752" s="83" t="s">
        <v>399</v>
      </c>
      <c r="N752" s="83" t="s">
        <v>3057</v>
      </c>
      <c r="O752" s="83" t="s">
        <v>106</v>
      </c>
      <c r="P752" s="83">
        <v>4</v>
      </c>
      <c r="Q752" s="83" t="s">
        <v>106</v>
      </c>
      <c r="R752" s="83" t="s">
        <v>2799</v>
      </c>
      <c r="S752" s="83" t="s">
        <v>2804</v>
      </c>
      <c r="T752" s="83" t="s">
        <v>2703</v>
      </c>
      <c r="U752" s="83" t="s">
        <v>401</v>
      </c>
      <c r="AC752" s="83" t="s">
        <v>401</v>
      </c>
      <c r="AD752" s="83">
        <v>203000</v>
      </c>
      <c r="AF752" s="83">
        <v>24000</v>
      </c>
      <c r="AJ752" s="83">
        <v>1</v>
      </c>
      <c r="AK752" s="83">
        <v>1</v>
      </c>
      <c r="AL752" s="83">
        <v>4000</v>
      </c>
      <c r="AM752" s="83" t="s">
        <v>2693</v>
      </c>
      <c r="BK752" s="83" t="s">
        <v>2694</v>
      </c>
      <c r="BL752" s="83" t="s">
        <v>2704</v>
      </c>
      <c r="BM752" s="83" t="s">
        <v>2698</v>
      </c>
      <c r="BN752" s="83" t="s">
        <v>2698</v>
      </c>
      <c r="BO752" s="83" t="s">
        <v>2699</v>
      </c>
      <c r="BP752" s="83" t="s">
        <v>2695</v>
      </c>
      <c r="BQ752" s="83" t="s">
        <v>2699</v>
      </c>
      <c r="BR752" s="83" t="s">
        <v>2693</v>
      </c>
      <c r="BS752" s="83" t="s">
        <v>2699</v>
      </c>
      <c r="BT752" s="83" t="s">
        <v>2696</v>
      </c>
      <c r="BU752" s="83" t="s">
        <v>2699</v>
      </c>
      <c r="BV752" s="83" t="s">
        <v>2697</v>
      </c>
      <c r="BW752" s="83" t="s">
        <v>2698</v>
      </c>
      <c r="BX752" s="83" t="s">
        <v>2696</v>
      </c>
      <c r="BY752" s="83" t="s">
        <v>2699</v>
      </c>
      <c r="BZ752" s="83" t="s">
        <v>2699</v>
      </c>
      <c r="CA752" s="83" t="s">
        <v>2693</v>
      </c>
      <c r="CB752" s="83" t="s">
        <v>2694</v>
      </c>
      <c r="CC752" s="83" t="s">
        <v>2699</v>
      </c>
      <c r="CD752" s="83" t="s">
        <v>2696</v>
      </c>
      <c r="CF752" s="83" t="s">
        <v>786</v>
      </c>
      <c r="CG752" s="83" t="s">
        <v>787</v>
      </c>
      <c r="CH752" s="83" t="s">
        <v>2693</v>
      </c>
      <c r="CI752" s="83" t="s">
        <v>3992</v>
      </c>
      <c r="CJ752" s="83" t="s">
        <v>2701</v>
      </c>
      <c r="CK752" s="144">
        <v>0</v>
      </c>
      <c r="CL752"/>
    </row>
    <row r="753" spans="1:90" s="79" customFormat="1">
      <c r="A753" s="83" t="s">
        <v>782</v>
      </c>
      <c r="B753" s="83" t="s">
        <v>2438</v>
      </c>
      <c r="C753" s="83"/>
      <c r="D753" s="83" t="s">
        <v>714</v>
      </c>
      <c r="E753" s="83" t="s">
        <v>3558</v>
      </c>
      <c r="F753" s="83" t="s">
        <v>3425</v>
      </c>
      <c r="G753" s="83" t="s">
        <v>1155</v>
      </c>
      <c r="H753" s="83" t="s">
        <v>1201</v>
      </c>
      <c r="I753" s="83" t="s">
        <v>1202</v>
      </c>
      <c r="J753" s="83" t="s">
        <v>1203</v>
      </c>
      <c r="K753" s="83" t="s">
        <v>565</v>
      </c>
      <c r="L753" s="83" t="s">
        <v>398</v>
      </c>
      <c r="M753" s="83" t="s">
        <v>399</v>
      </c>
      <c r="N753" s="83" t="s">
        <v>3057</v>
      </c>
      <c r="O753" s="83" t="s">
        <v>106</v>
      </c>
      <c r="P753" s="83">
        <v>4</v>
      </c>
      <c r="Q753" s="83" t="s">
        <v>106</v>
      </c>
      <c r="R753" s="83" t="s">
        <v>2799</v>
      </c>
      <c r="S753" s="83" t="s">
        <v>2804</v>
      </c>
      <c r="T753" s="83" t="s">
        <v>2703</v>
      </c>
      <c r="U753" s="83" t="s">
        <v>401</v>
      </c>
      <c r="V753" s="97"/>
      <c r="W753" s="97"/>
      <c r="X753" s="97"/>
      <c r="Y753" s="97"/>
      <c r="Z753" s="97"/>
      <c r="AA753" s="97"/>
      <c r="AB753" s="97"/>
      <c r="AC753" s="83" t="s">
        <v>401</v>
      </c>
      <c r="AD753" s="83">
        <v>302000</v>
      </c>
      <c r="AE753" s="83"/>
      <c r="AF753" s="83">
        <v>36000</v>
      </c>
      <c r="AG753" s="83"/>
      <c r="AH753" s="83"/>
      <c r="AI753" s="83"/>
      <c r="AJ753" s="83">
        <v>1</v>
      </c>
      <c r="AK753" s="83">
        <v>1</v>
      </c>
      <c r="AL753" s="83">
        <v>6000</v>
      </c>
      <c r="AM753" s="83" t="s">
        <v>2693</v>
      </c>
      <c r="AN753" s="83"/>
      <c r="AO753" s="83"/>
      <c r="AP753" s="83"/>
      <c r="AQ753" s="83"/>
      <c r="AR753" s="83"/>
      <c r="AS753" s="83"/>
      <c r="AT753" s="83"/>
      <c r="AU753" s="83"/>
      <c r="AV753" s="83"/>
      <c r="AW753" s="83"/>
      <c r="AX753" s="83"/>
      <c r="AY753" s="83"/>
      <c r="AZ753" s="83"/>
      <c r="BA753" s="83"/>
      <c r="BB753" s="83"/>
      <c r="BC753" s="83"/>
      <c r="BD753" s="83"/>
      <c r="BE753" s="83"/>
      <c r="BF753" s="83"/>
      <c r="BG753" s="83"/>
      <c r="BH753" s="83"/>
      <c r="BI753" s="83"/>
      <c r="BJ753" s="83"/>
      <c r="BK753" s="83" t="s">
        <v>2694</v>
      </c>
      <c r="BL753" s="83" t="s">
        <v>2704</v>
      </c>
      <c r="BM753" s="83" t="s">
        <v>2698</v>
      </c>
      <c r="BN753" s="83" t="s">
        <v>2698</v>
      </c>
      <c r="BO753" s="83" t="s">
        <v>2699</v>
      </c>
      <c r="BP753" s="83" t="s">
        <v>2695</v>
      </c>
      <c r="BQ753" s="83" t="s">
        <v>2699</v>
      </c>
      <c r="BR753" s="83" t="s">
        <v>2693</v>
      </c>
      <c r="BS753" s="83" t="s">
        <v>2699</v>
      </c>
      <c r="BT753" s="83" t="s">
        <v>2696</v>
      </c>
      <c r="BU753" s="83" t="s">
        <v>2699</v>
      </c>
      <c r="BV753" s="83" t="s">
        <v>2697</v>
      </c>
      <c r="BW753" s="83" t="s">
        <v>2698</v>
      </c>
      <c r="BX753" s="83" t="s">
        <v>2696</v>
      </c>
      <c r="BY753" s="83" t="s">
        <v>2699</v>
      </c>
      <c r="BZ753" s="83" t="s">
        <v>2699</v>
      </c>
      <c r="CA753" s="83" t="s">
        <v>2693</v>
      </c>
      <c r="CB753" s="83" t="s">
        <v>2694</v>
      </c>
      <c r="CC753" s="83" t="s">
        <v>2699</v>
      </c>
      <c r="CD753" s="83" t="s">
        <v>2696</v>
      </c>
      <c r="CE753" s="83"/>
      <c r="CF753" s="83" t="s">
        <v>783</v>
      </c>
      <c r="CG753" s="83" t="s">
        <v>784</v>
      </c>
      <c r="CH753" s="83" t="s">
        <v>2693</v>
      </c>
      <c r="CI753" s="83" t="s">
        <v>3992</v>
      </c>
      <c r="CJ753" s="83" t="s">
        <v>2701</v>
      </c>
      <c r="CK753" s="144">
        <v>0</v>
      </c>
      <c r="CL753"/>
    </row>
    <row r="754" spans="1:90">
      <c r="A754" s="83" t="s">
        <v>1608</v>
      </c>
      <c r="B754" s="83" t="s">
        <v>1666</v>
      </c>
      <c r="D754" s="83" t="s">
        <v>688</v>
      </c>
      <c r="E754" s="83" t="s">
        <v>1666</v>
      </c>
      <c r="F754" s="83" t="s">
        <v>1804</v>
      </c>
      <c r="G754" s="83" t="s">
        <v>1908</v>
      </c>
      <c r="H754" s="83" t="s">
        <v>1201</v>
      </c>
      <c r="I754" s="83" t="s">
        <v>1202</v>
      </c>
      <c r="J754" s="83" t="s">
        <v>1203</v>
      </c>
      <c r="K754" s="83" t="s">
        <v>565</v>
      </c>
      <c r="L754" s="83" t="s">
        <v>398</v>
      </c>
      <c r="M754" s="83" t="s">
        <v>399</v>
      </c>
      <c r="N754" s="83" t="s">
        <v>2709</v>
      </c>
      <c r="O754" s="83" t="s">
        <v>106</v>
      </c>
      <c r="P754" s="83">
        <v>8</v>
      </c>
      <c r="Q754" s="83" t="s">
        <v>106</v>
      </c>
      <c r="R754" s="83" t="s">
        <v>2730</v>
      </c>
      <c r="S754" s="83" t="s">
        <v>2775</v>
      </c>
      <c r="T754" s="83" t="s">
        <v>2703</v>
      </c>
      <c r="U754" s="83" t="s">
        <v>401</v>
      </c>
      <c r="AC754" s="83" t="s">
        <v>401</v>
      </c>
      <c r="AD754" s="83">
        <v>3398000</v>
      </c>
      <c r="AF754" s="83">
        <v>0</v>
      </c>
      <c r="AJ754" s="83">
        <v>1</v>
      </c>
      <c r="AK754" s="83">
        <v>1</v>
      </c>
      <c r="AL754" s="83">
        <v>30464</v>
      </c>
      <c r="AM754" s="83" t="s">
        <v>2693</v>
      </c>
      <c r="BK754" s="83" t="s">
        <v>2694</v>
      </c>
      <c r="BL754" s="83" t="s">
        <v>2699</v>
      </c>
      <c r="BM754" s="83" t="s">
        <v>2698</v>
      </c>
      <c r="BN754" s="83" t="s">
        <v>2693</v>
      </c>
      <c r="BO754" s="83" t="s">
        <v>2697</v>
      </c>
      <c r="BP754" s="83" t="s">
        <v>2695</v>
      </c>
      <c r="BQ754" s="83" t="s">
        <v>2693</v>
      </c>
      <c r="BR754" s="83" t="s">
        <v>2693</v>
      </c>
      <c r="BS754" s="83" t="s">
        <v>2699</v>
      </c>
      <c r="BT754" s="83">
        <v>0</v>
      </c>
      <c r="BU754" s="83" t="s">
        <v>2699</v>
      </c>
      <c r="BV754" s="83" t="s">
        <v>2696</v>
      </c>
      <c r="BW754" s="83" t="s">
        <v>2698</v>
      </c>
      <c r="BX754" s="83" t="s">
        <v>2696</v>
      </c>
      <c r="BY754" s="83" t="s">
        <v>2699</v>
      </c>
      <c r="BZ754" s="83" t="s">
        <v>2693</v>
      </c>
      <c r="CA754" s="83" t="s">
        <v>2693</v>
      </c>
      <c r="CB754" s="83" t="s">
        <v>2730</v>
      </c>
      <c r="CC754" s="83" t="s">
        <v>2699</v>
      </c>
      <c r="CD754" s="83" t="s">
        <v>2699</v>
      </c>
      <c r="CF754" s="83" t="s">
        <v>2111</v>
      </c>
      <c r="CG754" s="83" t="s">
        <v>2112</v>
      </c>
      <c r="CH754" s="83" t="s">
        <v>2695</v>
      </c>
      <c r="CI754" s="83" t="s">
        <v>648</v>
      </c>
      <c r="CJ754" s="83" t="s">
        <v>2731</v>
      </c>
      <c r="CK754" s="144">
        <v>0</v>
      </c>
      <c r="CL754"/>
    </row>
    <row r="755" spans="1:90" s="148" customFormat="1" ht="11.25">
      <c r="A755" s="148" t="s">
        <v>4937</v>
      </c>
      <c r="B755" s="148" t="s">
        <v>4940</v>
      </c>
      <c r="E755" s="150" t="s">
        <v>4940</v>
      </c>
      <c r="F755" s="148">
        <v>4870</v>
      </c>
      <c r="G755" s="148" t="s">
        <v>4939</v>
      </c>
      <c r="H755" s="148" t="s">
        <v>1201</v>
      </c>
      <c r="I755" s="149" t="s">
        <v>567</v>
      </c>
      <c r="J755" s="149" t="s">
        <v>1203</v>
      </c>
      <c r="K755" s="149" t="s">
        <v>565</v>
      </c>
      <c r="L755" s="148" t="s">
        <v>398</v>
      </c>
      <c r="M755" s="148" t="s">
        <v>399</v>
      </c>
      <c r="N755" s="148" t="s">
        <v>4938</v>
      </c>
      <c r="O755" s="151"/>
      <c r="P755" s="152"/>
      <c r="Q755" s="153"/>
      <c r="R755" s="154"/>
      <c r="S755" s="153"/>
      <c r="Z755" s="152"/>
      <c r="AA755" s="152"/>
      <c r="AB755" s="153"/>
      <c r="AD755" s="148">
        <v>10000</v>
      </c>
      <c r="AF755" s="148">
        <v>0</v>
      </c>
    </row>
    <row r="756" spans="1:90" s="103" customFormat="1">
      <c r="B756" s="103" t="s">
        <v>4149</v>
      </c>
      <c r="AD756" s="104">
        <f>SUM(AD2:AD755)</f>
        <v>2336804000</v>
      </c>
      <c r="AE756" s="104">
        <f t="shared" ref="AE756" si="0">SUM(AE2:AE754)</f>
        <v>0</v>
      </c>
      <c r="AF756" s="104">
        <f>SUM(AF2:AF755)</f>
        <v>180561000</v>
      </c>
      <c r="CK756" s="146"/>
      <c r="CL756" s="104">
        <f>SUM(CL2:CL754)</f>
        <v>56225000</v>
      </c>
    </row>
    <row r="757" spans="1:90">
      <c r="CL757" s="101"/>
    </row>
    <row r="759" spans="1:90" ht="27">
      <c r="A759" s="108">
        <v>142</v>
      </c>
      <c r="B759" s="83" t="s">
        <v>4205</v>
      </c>
      <c r="E759" s="109" t="s">
        <v>4150</v>
      </c>
      <c r="F759" s="83">
        <v>2831</v>
      </c>
      <c r="G759" s="110" t="s">
        <v>4206</v>
      </c>
      <c r="H759" s="83" t="s">
        <v>1201</v>
      </c>
      <c r="I759" s="83" t="s">
        <v>1202</v>
      </c>
      <c r="J759" s="83" t="s">
        <v>1203</v>
      </c>
      <c r="K759" s="83" t="s">
        <v>565</v>
      </c>
      <c r="L759" s="83" t="s">
        <v>398</v>
      </c>
      <c r="M759" s="83" t="s">
        <v>399</v>
      </c>
      <c r="N759" s="83">
        <v>32206</v>
      </c>
      <c r="S759" s="111">
        <v>1968</v>
      </c>
      <c r="AD759" s="112">
        <v>4295891</v>
      </c>
      <c r="AK759" s="113">
        <v>3</v>
      </c>
      <c r="AL759" s="114">
        <v>48756</v>
      </c>
      <c r="CH759" s="113">
        <v>4</v>
      </c>
    </row>
    <row r="760" spans="1:90">
      <c r="A760" s="108">
        <v>145</v>
      </c>
      <c r="B760" s="83" t="s">
        <v>4205</v>
      </c>
      <c r="E760" s="109" t="s">
        <v>4151</v>
      </c>
      <c r="F760" s="83">
        <v>3001</v>
      </c>
      <c r="G760" s="110" t="s">
        <v>4206</v>
      </c>
      <c r="H760" s="83" t="s">
        <v>1201</v>
      </c>
      <c r="I760" s="83" t="s">
        <v>1202</v>
      </c>
      <c r="J760" s="83" t="s">
        <v>1203</v>
      </c>
      <c r="K760" s="83" t="s">
        <v>565</v>
      </c>
      <c r="L760" s="83" t="s">
        <v>398</v>
      </c>
      <c r="M760" s="83" t="s">
        <v>399</v>
      </c>
      <c r="N760" s="83">
        <v>32206</v>
      </c>
      <c r="S760" s="111">
        <v>1989</v>
      </c>
      <c r="AD760" s="112">
        <v>623747</v>
      </c>
      <c r="AK760" s="113">
        <v>1</v>
      </c>
      <c r="AL760" s="114">
        <v>24750</v>
      </c>
      <c r="CH760" s="113">
        <v>4</v>
      </c>
    </row>
    <row r="761" spans="1:90">
      <c r="A761" s="108">
        <v>139</v>
      </c>
      <c r="B761" s="83" t="s">
        <v>4205</v>
      </c>
      <c r="E761" s="109" t="s">
        <v>4152</v>
      </c>
      <c r="F761" s="83">
        <v>3001</v>
      </c>
      <c r="G761" s="110" t="s">
        <v>4206</v>
      </c>
      <c r="H761" s="83" t="s">
        <v>1201</v>
      </c>
      <c r="I761" s="83" t="s">
        <v>1202</v>
      </c>
      <c r="J761" s="83" t="s">
        <v>1203</v>
      </c>
      <c r="K761" s="83" t="s">
        <v>565</v>
      </c>
      <c r="L761" s="83" t="s">
        <v>398</v>
      </c>
      <c r="M761" s="83" t="s">
        <v>399</v>
      </c>
      <c r="N761" s="83">
        <v>32206</v>
      </c>
      <c r="S761" s="111">
        <v>2001</v>
      </c>
      <c r="AD761" s="112">
        <v>178852</v>
      </c>
      <c r="AK761" s="113">
        <v>1</v>
      </c>
      <c r="AL761" s="114">
        <v>3172</v>
      </c>
      <c r="CH761" s="113">
        <v>3</v>
      </c>
    </row>
    <row r="762" spans="1:90">
      <c r="A762" s="108">
        <v>118</v>
      </c>
      <c r="B762" s="83" t="s">
        <v>4205</v>
      </c>
      <c r="E762" s="109" t="s">
        <v>4153</v>
      </c>
      <c r="F762" s="83">
        <v>2064</v>
      </c>
      <c r="G762" s="110" t="s">
        <v>4207</v>
      </c>
      <c r="H762" s="83" t="s">
        <v>1201</v>
      </c>
      <c r="I762" s="83" t="s">
        <v>1202</v>
      </c>
      <c r="J762" s="83" t="s">
        <v>1203</v>
      </c>
      <c r="K762" s="83" t="s">
        <v>565</v>
      </c>
      <c r="L762" s="83" t="s">
        <v>398</v>
      </c>
      <c r="M762" s="83" t="s">
        <v>399</v>
      </c>
      <c r="N762" s="83">
        <v>32206</v>
      </c>
      <c r="S762" s="111">
        <v>1999</v>
      </c>
      <c r="AD762" s="112">
        <v>591938</v>
      </c>
      <c r="AK762" s="113">
        <v>1</v>
      </c>
      <c r="AL762" s="114">
        <v>7600</v>
      </c>
      <c r="CH762" s="113">
        <v>4</v>
      </c>
    </row>
    <row r="763" spans="1:90">
      <c r="A763" s="108">
        <v>140</v>
      </c>
      <c r="B763" s="83" t="s">
        <v>4205</v>
      </c>
      <c r="E763" s="109" t="s">
        <v>4154</v>
      </c>
      <c r="F763" s="83">
        <v>3001</v>
      </c>
      <c r="G763" s="110" t="s">
        <v>4208</v>
      </c>
      <c r="H763" s="83" t="s">
        <v>1201</v>
      </c>
      <c r="I763" s="83" t="s">
        <v>1202</v>
      </c>
      <c r="J763" s="83" t="s">
        <v>1203</v>
      </c>
      <c r="K763" s="83" t="s">
        <v>565</v>
      </c>
      <c r="L763" s="83" t="s">
        <v>398</v>
      </c>
      <c r="M763" s="83" t="s">
        <v>399</v>
      </c>
      <c r="N763" s="83">
        <v>32206</v>
      </c>
      <c r="S763" s="111">
        <v>1998</v>
      </c>
      <c r="AD763" s="112">
        <v>218119</v>
      </c>
      <c r="AK763" s="113">
        <v>1</v>
      </c>
      <c r="AL763" s="114">
        <v>3168</v>
      </c>
      <c r="CH763" s="113">
        <v>3</v>
      </c>
    </row>
    <row r="764" spans="1:90">
      <c r="A764" s="108">
        <v>119</v>
      </c>
      <c r="B764" s="83" t="s">
        <v>4205</v>
      </c>
      <c r="E764" s="109" t="s">
        <v>4155</v>
      </c>
      <c r="F764" s="83">
        <v>2039</v>
      </c>
      <c r="G764" s="110" t="s">
        <v>4207</v>
      </c>
      <c r="H764" s="83" t="s">
        <v>1201</v>
      </c>
      <c r="I764" s="83" t="s">
        <v>1202</v>
      </c>
      <c r="J764" s="83" t="s">
        <v>1203</v>
      </c>
      <c r="K764" s="83" t="s">
        <v>565</v>
      </c>
      <c r="L764" s="83" t="s">
        <v>398</v>
      </c>
      <c r="M764" s="83" t="s">
        <v>399</v>
      </c>
      <c r="N764" s="83">
        <v>32206</v>
      </c>
      <c r="S764" s="111">
        <v>1996</v>
      </c>
      <c r="AD764" s="112">
        <v>335958</v>
      </c>
      <c r="AK764" s="113">
        <v>1</v>
      </c>
      <c r="AL764" s="114">
        <v>5576</v>
      </c>
      <c r="CH764" s="113">
        <v>2</v>
      </c>
    </row>
    <row r="765" spans="1:90">
      <c r="A765" s="108">
        <v>120</v>
      </c>
      <c r="B765" s="83" t="s">
        <v>4205</v>
      </c>
      <c r="E765" s="109" t="s">
        <v>4156</v>
      </c>
      <c r="F765" s="83">
        <v>2064</v>
      </c>
      <c r="G765" s="110" t="s">
        <v>4207</v>
      </c>
      <c r="H765" s="83" t="s">
        <v>1201</v>
      </c>
      <c r="I765" s="83" t="s">
        <v>1202</v>
      </c>
      <c r="J765" s="83" t="s">
        <v>1203</v>
      </c>
      <c r="K765" s="83" t="s">
        <v>565</v>
      </c>
      <c r="L765" s="83" t="s">
        <v>398</v>
      </c>
      <c r="M765" s="83" t="s">
        <v>399</v>
      </c>
      <c r="N765" s="83">
        <v>32206</v>
      </c>
      <c r="S765" s="111">
        <v>1996</v>
      </c>
      <c r="AD765" s="112">
        <v>282767</v>
      </c>
      <c r="AK765" s="113">
        <v>2</v>
      </c>
      <c r="AL765" s="114">
        <v>2850</v>
      </c>
      <c r="CH765" s="115">
        <v>1</v>
      </c>
    </row>
    <row r="766" spans="1:90">
      <c r="A766" s="116">
        <v>135</v>
      </c>
      <c r="B766" s="83" t="s">
        <v>4205</v>
      </c>
      <c r="E766" s="109" t="s">
        <v>4157</v>
      </c>
      <c r="F766" s="83">
        <v>2701</v>
      </c>
      <c r="G766" s="110" t="s">
        <v>4206</v>
      </c>
      <c r="H766" s="83" t="s">
        <v>1201</v>
      </c>
      <c r="I766" s="83" t="s">
        <v>1202</v>
      </c>
      <c r="J766" s="83" t="s">
        <v>1203</v>
      </c>
      <c r="K766" s="83" t="s">
        <v>565</v>
      </c>
      <c r="L766" s="83" t="s">
        <v>398</v>
      </c>
      <c r="M766" s="83" t="s">
        <v>399</v>
      </c>
      <c r="N766" s="83">
        <v>32206</v>
      </c>
      <c r="S766" s="111">
        <v>1986</v>
      </c>
      <c r="AD766" s="112">
        <v>702417</v>
      </c>
      <c r="AK766" s="113">
        <v>1</v>
      </c>
      <c r="AL766" s="114">
        <v>12000</v>
      </c>
      <c r="CH766" s="113">
        <v>3</v>
      </c>
    </row>
    <row r="767" spans="1:90">
      <c r="A767" s="108" t="s">
        <v>4158</v>
      </c>
      <c r="B767" s="83" t="s">
        <v>4205</v>
      </c>
      <c r="E767" s="109" t="s">
        <v>4159</v>
      </c>
      <c r="F767" s="83">
        <v>1751</v>
      </c>
      <c r="G767" s="110" t="s">
        <v>4206</v>
      </c>
      <c r="H767" s="83" t="s">
        <v>1201</v>
      </c>
      <c r="I767" s="83" t="s">
        <v>1202</v>
      </c>
      <c r="J767" s="83" t="s">
        <v>1203</v>
      </c>
      <c r="K767" s="83" t="s">
        <v>565</v>
      </c>
      <c r="L767" s="83" t="s">
        <v>398</v>
      </c>
      <c r="M767" s="83" t="s">
        <v>399</v>
      </c>
      <c r="N767" s="83">
        <v>32206</v>
      </c>
      <c r="S767" s="111">
        <v>1970</v>
      </c>
      <c r="AD767" s="112">
        <v>3044802</v>
      </c>
      <c r="AK767" s="113">
        <v>1</v>
      </c>
      <c r="AL767" s="114">
        <v>72000</v>
      </c>
      <c r="CH767" s="113">
        <v>3</v>
      </c>
    </row>
    <row r="768" spans="1:90">
      <c r="A768" s="108" t="s">
        <v>4160</v>
      </c>
      <c r="B768" s="83" t="s">
        <v>4205</v>
      </c>
      <c r="E768" s="109" t="s">
        <v>4161</v>
      </c>
      <c r="F768" s="83">
        <v>1751</v>
      </c>
      <c r="G768" s="110" t="s">
        <v>4206</v>
      </c>
      <c r="H768" s="83" t="s">
        <v>1201</v>
      </c>
      <c r="I768" s="83" t="s">
        <v>1202</v>
      </c>
      <c r="J768" s="83" t="s">
        <v>1203</v>
      </c>
      <c r="K768" s="83" t="s">
        <v>565</v>
      </c>
      <c r="L768" s="83" t="s">
        <v>398</v>
      </c>
      <c r="M768" s="83" t="s">
        <v>399</v>
      </c>
      <c r="N768" s="83">
        <v>32206</v>
      </c>
      <c r="S768" s="111"/>
      <c r="AD768" s="112">
        <v>5558707</v>
      </c>
      <c r="AK768" s="113">
        <v>1</v>
      </c>
      <c r="AL768" s="114">
        <v>85264</v>
      </c>
      <c r="CH768" s="113">
        <v>2</v>
      </c>
    </row>
    <row r="769" spans="1:86">
      <c r="A769" s="108" t="s">
        <v>4162</v>
      </c>
      <c r="B769" s="83" t="s">
        <v>4205</v>
      </c>
      <c r="E769" s="109" t="s">
        <v>4163</v>
      </c>
      <c r="F769" s="83">
        <v>1751</v>
      </c>
      <c r="G769" s="110" t="s">
        <v>4206</v>
      </c>
      <c r="H769" s="83" t="s">
        <v>1201</v>
      </c>
      <c r="I769" s="83" t="s">
        <v>1202</v>
      </c>
      <c r="J769" s="83" t="s">
        <v>1203</v>
      </c>
      <c r="K769" s="83" t="s">
        <v>565</v>
      </c>
      <c r="L769" s="83" t="s">
        <v>398</v>
      </c>
      <c r="M769" s="83" t="s">
        <v>399</v>
      </c>
      <c r="N769" s="83">
        <v>32206</v>
      </c>
      <c r="S769" s="111"/>
      <c r="AD769" s="112">
        <v>1247656</v>
      </c>
      <c r="AK769" s="113">
        <v>2</v>
      </c>
      <c r="AL769" s="114">
        <v>11200</v>
      </c>
      <c r="CH769" s="113">
        <v>3</v>
      </c>
    </row>
    <row r="770" spans="1:86">
      <c r="A770" s="108" t="s">
        <v>4164</v>
      </c>
      <c r="B770" s="83" t="s">
        <v>4205</v>
      </c>
      <c r="E770" s="109" t="s">
        <v>4165</v>
      </c>
      <c r="F770" s="83">
        <v>1751</v>
      </c>
      <c r="G770" s="110" t="s">
        <v>4206</v>
      </c>
      <c r="H770" s="83" t="s">
        <v>1201</v>
      </c>
      <c r="I770" s="83" t="s">
        <v>1202</v>
      </c>
      <c r="J770" s="83" t="s">
        <v>1203</v>
      </c>
      <c r="K770" s="83" t="s">
        <v>565</v>
      </c>
      <c r="L770" s="83" t="s">
        <v>398</v>
      </c>
      <c r="M770" s="83" t="s">
        <v>399</v>
      </c>
      <c r="N770" s="83">
        <v>32206</v>
      </c>
      <c r="S770" s="111"/>
      <c r="AD770" s="112">
        <v>513363</v>
      </c>
      <c r="AK770" s="113">
        <v>1</v>
      </c>
      <c r="AL770" s="114">
        <v>9450</v>
      </c>
      <c r="CH770" s="113">
        <v>2</v>
      </c>
    </row>
    <row r="771" spans="1:86">
      <c r="A771" s="108" t="s">
        <v>4166</v>
      </c>
      <c r="B771" s="83" t="s">
        <v>4205</v>
      </c>
      <c r="E771" s="109" t="s">
        <v>4167</v>
      </c>
      <c r="F771" s="83">
        <v>1751</v>
      </c>
      <c r="G771" s="110" t="s">
        <v>4206</v>
      </c>
      <c r="H771" s="83" t="s">
        <v>1201</v>
      </c>
      <c r="I771" s="83" t="s">
        <v>1202</v>
      </c>
      <c r="J771" s="83" t="s">
        <v>1203</v>
      </c>
      <c r="K771" s="83" t="s">
        <v>565</v>
      </c>
      <c r="L771" s="83" t="s">
        <v>398</v>
      </c>
      <c r="M771" s="83" t="s">
        <v>399</v>
      </c>
      <c r="N771" s="83">
        <v>32206</v>
      </c>
      <c r="S771" s="111"/>
      <c r="AD771" s="112">
        <v>521190</v>
      </c>
      <c r="AK771" s="113">
        <v>1</v>
      </c>
      <c r="AL771" s="114">
        <v>10486</v>
      </c>
      <c r="CH771" s="113">
        <v>2</v>
      </c>
    </row>
    <row r="772" spans="1:86">
      <c r="A772" s="108">
        <v>153</v>
      </c>
      <c r="B772" s="83" t="s">
        <v>4205</v>
      </c>
      <c r="E772" s="109" t="s">
        <v>4168</v>
      </c>
      <c r="F772" s="83">
        <v>2139</v>
      </c>
      <c r="G772" s="110" t="s">
        <v>4209</v>
      </c>
      <c r="H772" s="83" t="s">
        <v>1201</v>
      </c>
      <c r="I772" s="83" t="s">
        <v>1202</v>
      </c>
      <c r="J772" s="83" t="s">
        <v>1203</v>
      </c>
      <c r="K772" s="83" t="s">
        <v>565</v>
      </c>
      <c r="L772" s="83" t="s">
        <v>398</v>
      </c>
      <c r="M772" s="83" t="s">
        <v>399</v>
      </c>
      <c r="N772" s="83">
        <v>32206</v>
      </c>
      <c r="S772" s="111">
        <v>1996</v>
      </c>
      <c r="AD772" s="112">
        <v>85844</v>
      </c>
      <c r="AK772" s="113">
        <v>2</v>
      </c>
      <c r="AL772" s="114">
        <v>4800</v>
      </c>
      <c r="CH772" s="113">
        <v>3</v>
      </c>
    </row>
    <row r="773" spans="1:86">
      <c r="A773" s="117">
        <v>144</v>
      </c>
      <c r="B773" s="83" t="s">
        <v>4205</v>
      </c>
      <c r="E773" s="105" t="s">
        <v>4169</v>
      </c>
      <c r="F773" s="83">
        <v>3001</v>
      </c>
      <c r="G773" s="110" t="s">
        <v>4206</v>
      </c>
      <c r="H773" s="83" t="s">
        <v>1201</v>
      </c>
      <c r="I773" s="83" t="s">
        <v>1202</v>
      </c>
      <c r="J773" s="83" t="s">
        <v>1203</v>
      </c>
      <c r="K773" s="83" t="s">
        <v>565</v>
      </c>
      <c r="L773" s="83" t="s">
        <v>398</v>
      </c>
      <c r="M773" s="83" t="s">
        <v>399</v>
      </c>
      <c r="N773" s="83">
        <v>32206</v>
      </c>
      <c r="S773" s="116"/>
      <c r="AD773" s="112">
        <v>400000</v>
      </c>
      <c r="AK773" s="106">
        <v>1</v>
      </c>
      <c r="AL773" s="118">
        <v>5500</v>
      </c>
      <c r="CH773" s="106"/>
    </row>
    <row r="774" spans="1:86">
      <c r="A774" s="117"/>
      <c r="B774" s="83" t="s">
        <v>4205</v>
      </c>
      <c r="E774" s="105" t="s">
        <v>4170</v>
      </c>
      <c r="F774" s="83">
        <v>3001</v>
      </c>
      <c r="G774" s="110" t="s">
        <v>4206</v>
      </c>
      <c r="H774" s="83" t="s">
        <v>1201</v>
      </c>
      <c r="I774" s="83" t="s">
        <v>1202</v>
      </c>
      <c r="J774" s="83" t="s">
        <v>1203</v>
      </c>
      <c r="K774" s="83" t="s">
        <v>565</v>
      </c>
      <c r="L774" s="83" t="s">
        <v>398</v>
      </c>
      <c r="M774" s="83" t="s">
        <v>399</v>
      </c>
      <c r="N774" s="83">
        <v>32206</v>
      </c>
      <c r="S774" s="116"/>
      <c r="AD774" s="112">
        <v>220000</v>
      </c>
      <c r="AK774" s="106">
        <v>1</v>
      </c>
      <c r="AL774" s="118">
        <v>5500</v>
      </c>
      <c r="CH774" s="106"/>
    </row>
    <row r="775" spans="1:86">
      <c r="A775" s="117">
        <v>121</v>
      </c>
      <c r="B775" s="83" t="s">
        <v>4205</v>
      </c>
      <c r="E775" s="105" t="s">
        <v>4171</v>
      </c>
      <c r="F775" s="83">
        <v>3001</v>
      </c>
      <c r="G775" s="110" t="s">
        <v>4206</v>
      </c>
      <c r="H775" s="83" t="s">
        <v>1201</v>
      </c>
      <c r="I775" s="83" t="s">
        <v>1202</v>
      </c>
      <c r="J775" s="83" t="s">
        <v>1203</v>
      </c>
      <c r="K775" s="83" t="s">
        <v>565</v>
      </c>
      <c r="L775" s="83" t="s">
        <v>398</v>
      </c>
      <c r="M775" s="83" t="s">
        <v>399</v>
      </c>
      <c r="N775" s="83">
        <v>32206</v>
      </c>
      <c r="S775" s="116"/>
      <c r="AD775" s="112">
        <v>220000</v>
      </c>
      <c r="AK775" s="106">
        <v>1</v>
      </c>
      <c r="AL775" s="118">
        <v>5500</v>
      </c>
      <c r="CH775" s="106"/>
    </row>
    <row r="776" spans="1:86">
      <c r="A776" s="116" t="s">
        <v>4172</v>
      </c>
      <c r="B776" s="83" t="s">
        <v>4205</v>
      </c>
      <c r="E776" s="105" t="s">
        <v>4173</v>
      </c>
      <c r="F776" s="83">
        <v>2052</v>
      </c>
      <c r="G776" s="110" t="s">
        <v>4210</v>
      </c>
      <c r="H776" s="83" t="s">
        <v>1201</v>
      </c>
      <c r="I776" s="83" t="s">
        <v>1202</v>
      </c>
      <c r="J776" s="83" t="s">
        <v>1203</v>
      </c>
      <c r="K776" s="83" t="s">
        <v>565</v>
      </c>
      <c r="L776" s="83" t="s">
        <v>398</v>
      </c>
      <c r="M776" s="83" t="s">
        <v>399</v>
      </c>
      <c r="N776" s="83">
        <v>32206</v>
      </c>
      <c r="S776" s="116"/>
      <c r="AD776" s="112">
        <v>84875</v>
      </c>
      <c r="AK776" s="105">
        <v>1</v>
      </c>
      <c r="AL776" s="118">
        <v>5000</v>
      </c>
      <c r="CH776" s="106">
        <v>4</v>
      </c>
    </row>
    <row r="777" spans="1:86">
      <c r="A777" s="116">
        <v>1972</v>
      </c>
      <c r="B777" s="83" t="s">
        <v>4205</v>
      </c>
      <c r="E777" s="105" t="s">
        <v>4174</v>
      </c>
      <c r="F777" s="83">
        <v>3001</v>
      </c>
      <c r="G777" s="110" t="s">
        <v>4206</v>
      </c>
      <c r="H777" s="83" t="s">
        <v>1201</v>
      </c>
      <c r="I777" s="83" t="s">
        <v>1202</v>
      </c>
      <c r="J777" s="83" t="s">
        <v>1203</v>
      </c>
      <c r="K777" s="83" t="s">
        <v>565</v>
      </c>
      <c r="L777" s="83" t="s">
        <v>398</v>
      </c>
      <c r="M777" s="83" t="s">
        <v>399</v>
      </c>
      <c r="N777" s="83">
        <v>32206</v>
      </c>
      <c r="AF777" s="119">
        <v>6500000</v>
      </c>
    </row>
    <row r="778" spans="1:86">
      <c r="A778" s="120">
        <v>1516</v>
      </c>
      <c r="B778" s="83" t="s">
        <v>4205</v>
      </c>
      <c r="E778" s="121" t="s">
        <v>4175</v>
      </c>
      <c r="F778" s="83">
        <v>3001</v>
      </c>
      <c r="G778" s="110" t="s">
        <v>4206</v>
      </c>
      <c r="H778" s="83" t="s">
        <v>1201</v>
      </c>
      <c r="I778" s="83" t="s">
        <v>1202</v>
      </c>
      <c r="J778" s="83" t="s">
        <v>1203</v>
      </c>
      <c r="K778" s="83" t="s">
        <v>565</v>
      </c>
      <c r="L778" s="83" t="s">
        <v>398</v>
      </c>
      <c r="M778" s="83" t="s">
        <v>399</v>
      </c>
      <c r="N778" s="83">
        <v>32206</v>
      </c>
      <c r="AF778" s="122">
        <v>10000000</v>
      </c>
    </row>
    <row r="779" spans="1:86">
      <c r="A779" s="120">
        <v>7381</v>
      </c>
      <c r="B779" s="83" t="s">
        <v>4205</v>
      </c>
      <c r="E779" s="121" t="s">
        <v>4176</v>
      </c>
      <c r="F779" s="83">
        <v>3001</v>
      </c>
      <c r="G779" s="110" t="s">
        <v>4206</v>
      </c>
      <c r="H779" s="83" t="s">
        <v>1201</v>
      </c>
      <c r="I779" s="83" t="s">
        <v>1202</v>
      </c>
      <c r="J779" s="83" t="s">
        <v>1203</v>
      </c>
      <c r="K779" s="83" t="s">
        <v>565</v>
      </c>
      <c r="L779" s="83" t="s">
        <v>398</v>
      </c>
      <c r="M779" s="83" t="s">
        <v>399</v>
      </c>
      <c r="N779" s="83">
        <v>32206</v>
      </c>
      <c r="AF779" s="122">
        <v>10000000</v>
      </c>
    </row>
    <row r="780" spans="1:86">
      <c r="A780" s="120">
        <v>7382</v>
      </c>
      <c r="B780" s="83" t="s">
        <v>4205</v>
      </c>
      <c r="E780" s="121" t="s">
        <v>4176</v>
      </c>
      <c r="F780" s="83">
        <v>3001</v>
      </c>
      <c r="G780" s="110" t="s">
        <v>4206</v>
      </c>
      <c r="H780" s="83" t="s">
        <v>1201</v>
      </c>
      <c r="I780" s="83" t="s">
        <v>1202</v>
      </c>
      <c r="J780" s="83" t="s">
        <v>1203</v>
      </c>
      <c r="K780" s="83" t="s">
        <v>565</v>
      </c>
      <c r="L780" s="83" t="s">
        <v>398</v>
      </c>
      <c r="M780" s="83" t="s">
        <v>399</v>
      </c>
      <c r="N780" s="83">
        <v>32206</v>
      </c>
      <c r="AF780" s="122">
        <v>10000000</v>
      </c>
    </row>
    <row r="781" spans="1:86">
      <c r="A781" s="120">
        <v>8844</v>
      </c>
      <c r="B781" s="83" t="s">
        <v>4205</v>
      </c>
      <c r="E781" s="121" t="s">
        <v>4177</v>
      </c>
      <c r="F781" s="83">
        <v>3001</v>
      </c>
      <c r="G781" s="110" t="s">
        <v>4206</v>
      </c>
      <c r="H781" s="83" t="s">
        <v>1201</v>
      </c>
      <c r="I781" s="83" t="s">
        <v>1202</v>
      </c>
      <c r="J781" s="83" t="s">
        <v>1203</v>
      </c>
      <c r="K781" s="83" t="s">
        <v>565</v>
      </c>
      <c r="L781" s="83" t="s">
        <v>398</v>
      </c>
      <c r="M781" s="83" t="s">
        <v>399</v>
      </c>
      <c r="N781" s="83">
        <v>32206</v>
      </c>
      <c r="AF781" s="122">
        <v>10000000</v>
      </c>
    </row>
    <row r="782" spans="1:86">
      <c r="A782" s="120">
        <v>8695</v>
      </c>
      <c r="B782" s="83" t="s">
        <v>4205</v>
      </c>
      <c r="E782" s="121" t="s">
        <v>4178</v>
      </c>
      <c r="F782" s="83">
        <v>3001</v>
      </c>
      <c r="G782" s="110" t="s">
        <v>4206</v>
      </c>
      <c r="H782" s="83" t="s">
        <v>1201</v>
      </c>
      <c r="I782" s="83" t="s">
        <v>1202</v>
      </c>
      <c r="J782" s="83" t="s">
        <v>1203</v>
      </c>
      <c r="K782" s="83" t="s">
        <v>565</v>
      </c>
      <c r="L782" s="83" t="s">
        <v>398</v>
      </c>
      <c r="M782" s="83" t="s">
        <v>399</v>
      </c>
      <c r="N782" s="83">
        <v>32206</v>
      </c>
      <c r="AF782" s="123">
        <v>1500000</v>
      </c>
    </row>
    <row r="783" spans="1:86">
      <c r="A783" s="120">
        <v>8696</v>
      </c>
      <c r="B783" s="83" t="s">
        <v>4205</v>
      </c>
      <c r="E783" s="121" t="s">
        <v>4178</v>
      </c>
      <c r="F783" s="83">
        <v>3001</v>
      </c>
      <c r="G783" s="110" t="s">
        <v>4206</v>
      </c>
      <c r="H783" s="83" t="s">
        <v>1201</v>
      </c>
      <c r="I783" s="83" t="s">
        <v>1202</v>
      </c>
      <c r="J783" s="83" t="s">
        <v>1203</v>
      </c>
      <c r="K783" s="83" t="s">
        <v>565</v>
      </c>
      <c r="L783" s="83" t="s">
        <v>398</v>
      </c>
      <c r="M783" s="83" t="s">
        <v>399</v>
      </c>
      <c r="N783" s="83">
        <v>32206</v>
      </c>
      <c r="AF783" s="123">
        <v>1500000</v>
      </c>
    </row>
    <row r="784" spans="1:86">
      <c r="A784" s="116">
        <v>3081</v>
      </c>
      <c r="B784" s="83" t="s">
        <v>4205</v>
      </c>
      <c r="E784" s="105" t="s">
        <v>4179</v>
      </c>
      <c r="F784" s="83">
        <v>3001</v>
      </c>
      <c r="G784" s="110" t="s">
        <v>4206</v>
      </c>
      <c r="H784" s="83" t="s">
        <v>1201</v>
      </c>
      <c r="I784" s="83" t="s">
        <v>1202</v>
      </c>
      <c r="J784" s="83" t="s">
        <v>1203</v>
      </c>
      <c r="K784" s="83" t="s">
        <v>565</v>
      </c>
      <c r="L784" s="83" t="s">
        <v>398</v>
      </c>
      <c r="M784" s="83" t="s">
        <v>399</v>
      </c>
      <c r="N784" s="83">
        <v>32206</v>
      </c>
      <c r="AF784" s="124">
        <v>50000</v>
      </c>
    </row>
    <row r="785" spans="1:32">
      <c r="A785" s="116">
        <v>3087</v>
      </c>
      <c r="B785" s="83" t="s">
        <v>4205</v>
      </c>
      <c r="E785" s="105" t="s">
        <v>4180</v>
      </c>
      <c r="F785" s="83">
        <v>3001</v>
      </c>
      <c r="G785" s="110" t="s">
        <v>4206</v>
      </c>
      <c r="H785" s="83" t="s">
        <v>1201</v>
      </c>
      <c r="I785" s="83" t="s">
        <v>1202</v>
      </c>
      <c r="J785" s="83" t="s">
        <v>1203</v>
      </c>
      <c r="K785" s="83" t="s">
        <v>565</v>
      </c>
      <c r="L785" s="83" t="s">
        <v>398</v>
      </c>
      <c r="M785" s="83" t="s">
        <v>399</v>
      </c>
      <c r="N785" s="83">
        <v>32206</v>
      </c>
      <c r="AF785" s="124">
        <v>50000</v>
      </c>
    </row>
    <row r="786" spans="1:32">
      <c r="A786" s="116">
        <v>3088</v>
      </c>
      <c r="B786" s="83" t="s">
        <v>4205</v>
      </c>
      <c r="E786" s="105" t="s">
        <v>4181</v>
      </c>
      <c r="F786" s="83">
        <v>3001</v>
      </c>
      <c r="G786" s="110" t="s">
        <v>4206</v>
      </c>
      <c r="H786" s="83" t="s">
        <v>1201</v>
      </c>
      <c r="I786" s="83" t="s">
        <v>1202</v>
      </c>
      <c r="J786" s="83" t="s">
        <v>1203</v>
      </c>
      <c r="K786" s="83" t="s">
        <v>565</v>
      </c>
      <c r="L786" s="83" t="s">
        <v>398</v>
      </c>
      <c r="M786" s="83" t="s">
        <v>399</v>
      </c>
      <c r="N786" s="83">
        <v>32206</v>
      </c>
      <c r="AF786" s="124">
        <v>50000</v>
      </c>
    </row>
    <row r="787" spans="1:32">
      <c r="A787" s="116">
        <v>3089</v>
      </c>
      <c r="B787" s="83" t="s">
        <v>4205</v>
      </c>
      <c r="E787" s="105" t="s">
        <v>4181</v>
      </c>
      <c r="F787" s="83">
        <v>3001</v>
      </c>
      <c r="G787" s="110" t="s">
        <v>4206</v>
      </c>
      <c r="H787" s="83" t="s">
        <v>1201</v>
      </c>
      <c r="I787" s="83" t="s">
        <v>1202</v>
      </c>
      <c r="J787" s="83" t="s">
        <v>1203</v>
      </c>
      <c r="K787" s="83" t="s">
        <v>565</v>
      </c>
      <c r="L787" s="83" t="s">
        <v>398</v>
      </c>
      <c r="M787" s="83" t="s">
        <v>399</v>
      </c>
      <c r="N787" s="83">
        <v>32206</v>
      </c>
      <c r="AF787" s="124">
        <v>50000</v>
      </c>
    </row>
    <row r="788" spans="1:32">
      <c r="A788" s="116">
        <v>3497</v>
      </c>
      <c r="B788" s="83" t="s">
        <v>4205</v>
      </c>
      <c r="E788" s="105" t="s">
        <v>4182</v>
      </c>
      <c r="F788" s="83">
        <v>3001</v>
      </c>
      <c r="G788" s="110" t="s">
        <v>4206</v>
      </c>
      <c r="H788" s="83" t="s">
        <v>1201</v>
      </c>
      <c r="I788" s="83" t="s">
        <v>1202</v>
      </c>
      <c r="J788" s="83" t="s">
        <v>1203</v>
      </c>
      <c r="K788" s="83" t="s">
        <v>565</v>
      </c>
      <c r="L788" s="83" t="s">
        <v>398</v>
      </c>
      <c r="M788" s="83" t="s">
        <v>399</v>
      </c>
      <c r="N788" s="83">
        <v>32206</v>
      </c>
      <c r="AF788" s="124">
        <v>10500</v>
      </c>
    </row>
    <row r="789" spans="1:32">
      <c r="A789" s="116">
        <v>3846</v>
      </c>
      <c r="B789" s="83" t="s">
        <v>4205</v>
      </c>
      <c r="E789" s="105" t="s">
        <v>4183</v>
      </c>
      <c r="F789" s="83">
        <v>3001</v>
      </c>
      <c r="G789" s="110" t="s">
        <v>4206</v>
      </c>
      <c r="H789" s="83" t="s">
        <v>1201</v>
      </c>
      <c r="I789" s="83" t="s">
        <v>1202</v>
      </c>
      <c r="J789" s="83" t="s">
        <v>1203</v>
      </c>
      <c r="K789" s="83" t="s">
        <v>565</v>
      </c>
      <c r="L789" s="83" t="s">
        <v>398</v>
      </c>
      <c r="M789" s="83" t="s">
        <v>399</v>
      </c>
      <c r="N789" s="83">
        <v>32206</v>
      </c>
      <c r="AF789" s="124">
        <v>750000</v>
      </c>
    </row>
    <row r="790" spans="1:32">
      <c r="A790" s="116">
        <v>7014</v>
      </c>
      <c r="B790" s="83" t="s">
        <v>4205</v>
      </c>
      <c r="E790" s="105" t="s">
        <v>4184</v>
      </c>
      <c r="F790" s="83">
        <v>3001</v>
      </c>
      <c r="G790" s="110" t="s">
        <v>4206</v>
      </c>
      <c r="H790" s="83" t="s">
        <v>1201</v>
      </c>
      <c r="I790" s="83" t="s">
        <v>1202</v>
      </c>
      <c r="J790" s="83" t="s">
        <v>1203</v>
      </c>
      <c r="K790" s="83" t="s">
        <v>565</v>
      </c>
      <c r="L790" s="83" t="s">
        <v>398</v>
      </c>
      <c r="M790" s="83" t="s">
        <v>399</v>
      </c>
      <c r="N790" s="83">
        <v>32206</v>
      </c>
      <c r="AF790" s="124">
        <v>50470</v>
      </c>
    </row>
    <row r="791" spans="1:32">
      <c r="A791" s="120">
        <v>7477</v>
      </c>
      <c r="B791" s="83" t="s">
        <v>4205</v>
      </c>
      <c r="E791" s="121" t="s">
        <v>4185</v>
      </c>
      <c r="F791" s="83">
        <v>3001</v>
      </c>
      <c r="G791" s="110" t="s">
        <v>4206</v>
      </c>
      <c r="H791" s="83" t="s">
        <v>1201</v>
      </c>
      <c r="I791" s="83" t="s">
        <v>1202</v>
      </c>
      <c r="J791" s="83" t="s">
        <v>1203</v>
      </c>
      <c r="K791" s="83" t="s">
        <v>565</v>
      </c>
      <c r="L791" s="83" t="s">
        <v>398</v>
      </c>
      <c r="M791" s="83" t="s">
        <v>399</v>
      </c>
      <c r="N791" s="83">
        <v>32206</v>
      </c>
      <c r="AF791" s="124">
        <v>4832.1000000000004</v>
      </c>
    </row>
    <row r="792" spans="1:32">
      <c r="A792" s="120">
        <v>7591</v>
      </c>
      <c r="B792" s="83" t="s">
        <v>4205</v>
      </c>
      <c r="E792" s="121" t="s">
        <v>4186</v>
      </c>
      <c r="F792" s="83">
        <v>3001</v>
      </c>
      <c r="G792" s="110" t="s">
        <v>4206</v>
      </c>
      <c r="H792" s="83" t="s">
        <v>1201</v>
      </c>
      <c r="I792" s="83" t="s">
        <v>1202</v>
      </c>
      <c r="J792" s="83" t="s">
        <v>1203</v>
      </c>
      <c r="K792" s="83" t="s">
        <v>565</v>
      </c>
      <c r="L792" s="83" t="s">
        <v>398</v>
      </c>
      <c r="M792" s="83" t="s">
        <v>399</v>
      </c>
      <c r="N792" s="83">
        <v>32206</v>
      </c>
      <c r="AF792" s="124">
        <v>40560</v>
      </c>
    </row>
    <row r="793" spans="1:32">
      <c r="A793" s="120">
        <v>8788</v>
      </c>
      <c r="B793" s="83" t="s">
        <v>4205</v>
      </c>
      <c r="E793" s="121" t="s">
        <v>4187</v>
      </c>
      <c r="F793" s="83">
        <v>3001</v>
      </c>
      <c r="G793" s="110" t="s">
        <v>4206</v>
      </c>
      <c r="H793" s="83" t="s">
        <v>1201</v>
      </c>
      <c r="I793" s="83" t="s">
        <v>1202</v>
      </c>
      <c r="J793" s="83" t="s">
        <v>1203</v>
      </c>
      <c r="K793" s="83" t="s">
        <v>565</v>
      </c>
      <c r="L793" s="83" t="s">
        <v>398</v>
      </c>
      <c r="M793" s="83" t="s">
        <v>399</v>
      </c>
      <c r="N793" s="83">
        <v>32206</v>
      </c>
      <c r="AF793" s="124">
        <v>150000</v>
      </c>
    </row>
    <row r="794" spans="1:32">
      <c r="A794" s="120">
        <v>8789</v>
      </c>
      <c r="B794" s="83" t="s">
        <v>4205</v>
      </c>
      <c r="E794" s="121" t="s">
        <v>4187</v>
      </c>
      <c r="F794" s="83">
        <v>3001</v>
      </c>
      <c r="G794" s="110" t="s">
        <v>4206</v>
      </c>
      <c r="H794" s="83" t="s">
        <v>1201</v>
      </c>
      <c r="I794" s="83" t="s">
        <v>1202</v>
      </c>
      <c r="J794" s="83" t="s">
        <v>1203</v>
      </c>
      <c r="K794" s="83" t="s">
        <v>565</v>
      </c>
      <c r="L794" s="83" t="s">
        <v>398</v>
      </c>
      <c r="M794" s="83" t="s">
        <v>399</v>
      </c>
      <c r="N794" s="83">
        <v>32206</v>
      </c>
      <c r="AF794" s="124">
        <v>150000</v>
      </c>
    </row>
    <row r="795" spans="1:32">
      <c r="A795" s="120">
        <v>7979</v>
      </c>
      <c r="B795" s="83" t="s">
        <v>4205</v>
      </c>
      <c r="E795" s="121" t="s">
        <v>4188</v>
      </c>
      <c r="F795" s="83">
        <v>3001</v>
      </c>
      <c r="G795" s="110" t="s">
        <v>4206</v>
      </c>
      <c r="H795" s="83" t="s">
        <v>1201</v>
      </c>
      <c r="I795" s="83" t="s">
        <v>1202</v>
      </c>
      <c r="J795" s="83" t="s">
        <v>1203</v>
      </c>
      <c r="K795" s="83" t="s">
        <v>565</v>
      </c>
      <c r="L795" s="83" t="s">
        <v>398</v>
      </c>
      <c r="M795" s="83" t="s">
        <v>399</v>
      </c>
      <c r="N795" s="83">
        <v>32206</v>
      </c>
      <c r="AF795" s="124">
        <v>300000</v>
      </c>
    </row>
    <row r="796" spans="1:32">
      <c r="A796" s="120">
        <v>8614</v>
      </c>
      <c r="B796" s="83" t="s">
        <v>4205</v>
      </c>
      <c r="E796" s="121" t="s">
        <v>4189</v>
      </c>
      <c r="F796" s="83">
        <v>3001</v>
      </c>
      <c r="G796" s="110" t="s">
        <v>4206</v>
      </c>
      <c r="H796" s="83" t="s">
        <v>1201</v>
      </c>
      <c r="I796" s="83" t="s">
        <v>1202</v>
      </c>
      <c r="J796" s="83" t="s">
        <v>1203</v>
      </c>
      <c r="K796" s="83" t="s">
        <v>565</v>
      </c>
      <c r="L796" s="83" t="s">
        <v>398</v>
      </c>
      <c r="M796" s="83" t="s">
        <v>399</v>
      </c>
      <c r="N796" s="83">
        <v>32206</v>
      </c>
      <c r="AF796" s="124">
        <v>33475</v>
      </c>
    </row>
    <row r="797" spans="1:32">
      <c r="A797" s="120">
        <v>8616</v>
      </c>
      <c r="B797" s="83" t="s">
        <v>4205</v>
      </c>
      <c r="E797" s="121" t="s">
        <v>4190</v>
      </c>
      <c r="F797" s="83">
        <v>2831</v>
      </c>
      <c r="G797" s="125" t="s">
        <v>4206</v>
      </c>
      <c r="H797" s="83" t="s">
        <v>1201</v>
      </c>
      <c r="I797" s="83" t="s">
        <v>1202</v>
      </c>
      <c r="J797" s="83" t="s">
        <v>1203</v>
      </c>
      <c r="K797" s="83" t="s">
        <v>565</v>
      </c>
      <c r="L797" s="83" t="s">
        <v>398</v>
      </c>
      <c r="M797" s="83" t="s">
        <v>399</v>
      </c>
      <c r="N797" s="83">
        <v>32206</v>
      </c>
      <c r="AF797" s="124">
        <v>150000</v>
      </c>
    </row>
    <row r="798" spans="1:32">
      <c r="A798" s="120">
        <v>8656</v>
      </c>
      <c r="B798" s="83" t="s">
        <v>4205</v>
      </c>
      <c r="E798" s="121" t="s">
        <v>4191</v>
      </c>
      <c r="F798" s="83">
        <v>3001</v>
      </c>
      <c r="G798" s="110" t="s">
        <v>4206</v>
      </c>
      <c r="H798" s="83" t="s">
        <v>1201</v>
      </c>
      <c r="I798" s="83" t="s">
        <v>1202</v>
      </c>
      <c r="J798" s="83" t="s">
        <v>1203</v>
      </c>
      <c r="K798" s="83" t="s">
        <v>565</v>
      </c>
      <c r="L798" s="83" t="s">
        <v>398</v>
      </c>
      <c r="M798" s="83" t="s">
        <v>399</v>
      </c>
      <c r="N798" s="83">
        <v>32206</v>
      </c>
      <c r="AF798" s="119">
        <v>170000</v>
      </c>
    </row>
    <row r="799" spans="1:32">
      <c r="A799" s="120">
        <v>8842</v>
      </c>
      <c r="B799" s="83" t="s">
        <v>4205</v>
      </c>
      <c r="E799" s="121" t="s">
        <v>4192</v>
      </c>
      <c r="F799" s="83">
        <v>3001</v>
      </c>
      <c r="G799" s="110" t="s">
        <v>4206</v>
      </c>
      <c r="H799" s="83" t="s">
        <v>1201</v>
      </c>
      <c r="I799" s="83" t="s">
        <v>1202</v>
      </c>
      <c r="J799" s="83" t="s">
        <v>1203</v>
      </c>
      <c r="K799" s="83" t="s">
        <v>565</v>
      </c>
      <c r="L799" s="83" t="s">
        <v>398</v>
      </c>
      <c r="M799" s="83" t="s">
        <v>399</v>
      </c>
      <c r="N799" s="83">
        <v>32206</v>
      </c>
      <c r="AF799" s="119">
        <v>170000</v>
      </c>
    </row>
    <row r="800" spans="1:32">
      <c r="A800" s="120">
        <v>8858</v>
      </c>
      <c r="B800" s="83" t="s">
        <v>4205</v>
      </c>
      <c r="E800" s="121" t="s">
        <v>4192</v>
      </c>
      <c r="F800" s="83">
        <v>3001</v>
      </c>
      <c r="G800" s="110" t="s">
        <v>4206</v>
      </c>
      <c r="H800" s="83" t="s">
        <v>1201</v>
      </c>
      <c r="I800" s="83" t="s">
        <v>1202</v>
      </c>
      <c r="J800" s="83" t="s">
        <v>1203</v>
      </c>
      <c r="K800" s="83" t="s">
        <v>565</v>
      </c>
      <c r="L800" s="83" t="s">
        <v>398</v>
      </c>
      <c r="M800" s="83" t="s">
        <v>399</v>
      </c>
      <c r="N800" s="83">
        <v>32206</v>
      </c>
      <c r="AF800" s="119">
        <v>170000</v>
      </c>
    </row>
    <row r="801" spans="1:86">
      <c r="A801" s="120">
        <v>8859</v>
      </c>
      <c r="B801" s="83" t="s">
        <v>4205</v>
      </c>
      <c r="E801" s="121" t="s">
        <v>4192</v>
      </c>
      <c r="F801" s="83">
        <v>3001</v>
      </c>
      <c r="G801" s="110" t="s">
        <v>4206</v>
      </c>
      <c r="H801" s="83" t="s">
        <v>1201</v>
      </c>
      <c r="I801" s="83" t="s">
        <v>1202</v>
      </c>
      <c r="J801" s="83" t="s">
        <v>1203</v>
      </c>
      <c r="K801" s="83" t="s">
        <v>565</v>
      </c>
      <c r="L801" s="83" t="s">
        <v>398</v>
      </c>
      <c r="M801" s="83" t="s">
        <v>399</v>
      </c>
      <c r="N801" s="83">
        <v>32206</v>
      </c>
      <c r="AF801" s="119">
        <v>170000</v>
      </c>
    </row>
    <row r="802" spans="1:86">
      <c r="A802" s="116">
        <v>10151</v>
      </c>
      <c r="B802" s="83" t="s">
        <v>4205</v>
      </c>
      <c r="E802" s="105" t="s">
        <v>4193</v>
      </c>
      <c r="F802" s="83">
        <v>3001</v>
      </c>
      <c r="G802" s="110" t="s">
        <v>4206</v>
      </c>
      <c r="H802" s="83" t="s">
        <v>1201</v>
      </c>
      <c r="I802" s="83" t="s">
        <v>1202</v>
      </c>
      <c r="J802" s="83" t="s">
        <v>1203</v>
      </c>
      <c r="K802" s="83" t="s">
        <v>565</v>
      </c>
      <c r="L802" s="83" t="s">
        <v>398</v>
      </c>
      <c r="M802" s="83" t="s">
        <v>399</v>
      </c>
      <c r="N802" s="83">
        <v>32206</v>
      </c>
      <c r="AF802" s="124">
        <v>100000</v>
      </c>
    </row>
    <row r="803" spans="1:86">
      <c r="A803" s="116">
        <v>8860</v>
      </c>
      <c r="B803" s="83" t="s">
        <v>4205</v>
      </c>
      <c r="E803" s="105" t="s">
        <v>4194</v>
      </c>
      <c r="F803" s="83">
        <v>3001</v>
      </c>
      <c r="G803" s="110" t="s">
        <v>4206</v>
      </c>
      <c r="H803" s="83" t="s">
        <v>1201</v>
      </c>
      <c r="I803" s="83" t="s">
        <v>1202</v>
      </c>
      <c r="J803" s="83" t="s">
        <v>1203</v>
      </c>
      <c r="K803" s="83" t="s">
        <v>565</v>
      </c>
      <c r="L803" s="83" t="s">
        <v>398</v>
      </c>
      <c r="M803" s="83" t="s">
        <v>399</v>
      </c>
      <c r="N803" s="83">
        <v>32206</v>
      </c>
      <c r="AF803" s="124">
        <v>45000</v>
      </c>
    </row>
    <row r="804" spans="1:86">
      <c r="A804" s="116">
        <v>8861</v>
      </c>
      <c r="B804" s="83" t="s">
        <v>4205</v>
      </c>
      <c r="E804" s="105" t="s">
        <v>4194</v>
      </c>
      <c r="F804" s="83">
        <v>3001</v>
      </c>
      <c r="G804" s="110" t="s">
        <v>4206</v>
      </c>
      <c r="H804" s="83" t="s">
        <v>1201</v>
      </c>
      <c r="I804" s="83" t="s">
        <v>1202</v>
      </c>
      <c r="J804" s="83" t="s">
        <v>1203</v>
      </c>
      <c r="K804" s="83" t="s">
        <v>565</v>
      </c>
      <c r="L804" s="83" t="s">
        <v>398</v>
      </c>
      <c r="M804" s="83" t="s">
        <v>399</v>
      </c>
      <c r="N804" s="83">
        <v>32206</v>
      </c>
      <c r="AF804" s="124">
        <v>45000</v>
      </c>
    </row>
    <row r="805" spans="1:86">
      <c r="A805" s="116">
        <v>10036</v>
      </c>
      <c r="B805" s="83" t="s">
        <v>4205</v>
      </c>
      <c r="E805" s="105" t="s">
        <v>4195</v>
      </c>
      <c r="F805" s="83">
        <v>3001</v>
      </c>
      <c r="G805" s="110" t="s">
        <v>4206</v>
      </c>
      <c r="H805" s="83" t="s">
        <v>1201</v>
      </c>
      <c r="I805" s="83" t="s">
        <v>1202</v>
      </c>
      <c r="J805" s="83" t="s">
        <v>1203</v>
      </c>
      <c r="K805" s="83" t="s">
        <v>565</v>
      </c>
      <c r="L805" s="83" t="s">
        <v>398</v>
      </c>
      <c r="M805" s="83" t="s">
        <v>399</v>
      </c>
      <c r="N805" s="83">
        <v>32206</v>
      </c>
      <c r="AF805" s="124">
        <v>74789.75</v>
      </c>
    </row>
    <row r="806" spans="1:86">
      <c r="A806" s="116">
        <v>10073</v>
      </c>
      <c r="B806" s="83" t="s">
        <v>4205</v>
      </c>
      <c r="E806" s="105" t="s">
        <v>4196</v>
      </c>
      <c r="F806" s="83">
        <v>3001</v>
      </c>
      <c r="G806" s="110" t="s">
        <v>4206</v>
      </c>
      <c r="H806" s="83" t="s">
        <v>1201</v>
      </c>
      <c r="I806" s="83" t="s">
        <v>1202</v>
      </c>
      <c r="J806" s="83" t="s">
        <v>1203</v>
      </c>
      <c r="K806" s="83" t="s">
        <v>565</v>
      </c>
      <c r="L806" s="83" t="s">
        <v>398</v>
      </c>
      <c r="M806" s="83" t="s">
        <v>399</v>
      </c>
      <c r="N806" s="83">
        <v>32206</v>
      </c>
      <c r="AF806" s="124">
        <v>30000</v>
      </c>
    </row>
    <row r="807" spans="1:86">
      <c r="A807" s="116">
        <v>10074</v>
      </c>
      <c r="B807" s="83" t="s">
        <v>4205</v>
      </c>
      <c r="E807" s="105" t="s">
        <v>4196</v>
      </c>
      <c r="F807" s="83">
        <v>3001</v>
      </c>
      <c r="G807" s="110" t="s">
        <v>4206</v>
      </c>
      <c r="H807" s="83" t="s">
        <v>1201</v>
      </c>
      <c r="I807" s="83" t="s">
        <v>1202</v>
      </c>
      <c r="J807" s="83" t="s">
        <v>1203</v>
      </c>
      <c r="K807" s="83" t="s">
        <v>565</v>
      </c>
      <c r="L807" s="83" t="s">
        <v>398</v>
      </c>
      <c r="M807" s="83" t="s">
        <v>399</v>
      </c>
      <c r="N807" s="83">
        <v>32206</v>
      </c>
      <c r="AF807" s="124">
        <v>30000</v>
      </c>
    </row>
    <row r="808" spans="1:86">
      <c r="A808" s="116">
        <v>10087</v>
      </c>
      <c r="B808" s="83" t="s">
        <v>4205</v>
      </c>
      <c r="E808" s="105" t="s">
        <v>4197</v>
      </c>
      <c r="F808" s="83">
        <v>3001</v>
      </c>
      <c r="G808" s="110" t="s">
        <v>4206</v>
      </c>
      <c r="H808" s="83" t="s">
        <v>1201</v>
      </c>
      <c r="I808" s="83" t="s">
        <v>1202</v>
      </c>
      <c r="J808" s="83" t="s">
        <v>1203</v>
      </c>
      <c r="K808" s="83" t="s">
        <v>565</v>
      </c>
      <c r="L808" s="83" t="s">
        <v>398</v>
      </c>
      <c r="M808" s="83" t="s">
        <v>399</v>
      </c>
      <c r="N808" s="83">
        <v>32206</v>
      </c>
      <c r="AF808" s="124">
        <v>41771</v>
      </c>
    </row>
    <row r="809" spans="1:86">
      <c r="A809" s="116">
        <v>10211</v>
      </c>
      <c r="B809" s="83" t="s">
        <v>4205</v>
      </c>
      <c r="E809" s="105" t="s">
        <v>4198</v>
      </c>
      <c r="F809" s="83">
        <v>3001</v>
      </c>
      <c r="G809" s="110" t="s">
        <v>4206</v>
      </c>
      <c r="H809" s="83" t="s">
        <v>1201</v>
      </c>
      <c r="I809" s="83" t="s">
        <v>1202</v>
      </c>
      <c r="J809" s="83" t="s">
        <v>1203</v>
      </c>
      <c r="K809" s="83" t="s">
        <v>565</v>
      </c>
      <c r="L809" s="83" t="s">
        <v>398</v>
      </c>
      <c r="M809" s="83" t="s">
        <v>399</v>
      </c>
      <c r="N809" s="83">
        <v>32206</v>
      </c>
      <c r="AF809" s="124">
        <v>30000</v>
      </c>
    </row>
    <row r="810" spans="1:86">
      <c r="A810" s="116">
        <v>10247</v>
      </c>
      <c r="B810" s="83" t="s">
        <v>4205</v>
      </c>
      <c r="E810" s="105" t="s">
        <v>4199</v>
      </c>
      <c r="F810" s="83">
        <v>3001</v>
      </c>
      <c r="G810" s="110" t="s">
        <v>4206</v>
      </c>
      <c r="H810" s="83" t="s">
        <v>1201</v>
      </c>
      <c r="I810" s="83" t="s">
        <v>1202</v>
      </c>
      <c r="J810" s="83" t="s">
        <v>1203</v>
      </c>
      <c r="K810" s="83" t="s">
        <v>565</v>
      </c>
      <c r="L810" s="83" t="s">
        <v>398</v>
      </c>
      <c r="M810" s="83" t="s">
        <v>399</v>
      </c>
      <c r="N810" s="83">
        <v>32206</v>
      </c>
      <c r="AF810" s="124">
        <v>220000</v>
      </c>
    </row>
    <row r="811" spans="1:86">
      <c r="A811" s="116">
        <v>10309</v>
      </c>
      <c r="B811" s="83" t="s">
        <v>4205</v>
      </c>
      <c r="E811" s="105" t="s">
        <v>4200</v>
      </c>
      <c r="F811" s="83">
        <v>3001</v>
      </c>
      <c r="G811" s="110" t="s">
        <v>4206</v>
      </c>
      <c r="H811" s="83" t="s">
        <v>1201</v>
      </c>
      <c r="I811" s="83" t="s">
        <v>1202</v>
      </c>
      <c r="J811" s="83" t="s">
        <v>1203</v>
      </c>
      <c r="K811" s="83" t="s">
        <v>565</v>
      </c>
      <c r="L811" s="83" t="s">
        <v>398</v>
      </c>
      <c r="M811" s="83" t="s">
        <v>399</v>
      </c>
      <c r="N811" s="83">
        <v>32206</v>
      </c>
      <c r="AF811" s="124">
        <v>45000</v>
      </c>
    </row>
    <row r="812" spans="1:86">
      <c r="A812" s="116"/>
      <c r="B812" s="83" t="s">
        <v>4205</v>
      </c>
      <c r="E812" s="105" t="s">
        <v>4201</v>
      </c>
      <c r="F812" s="83">
        <v>3001</v>
      </c>
      <c r="G812" s="110" t="s">
        <v>4206</v>
      </c>
      <c r="H812" s="83" t="s">
        <v>1201</v>
      </c>
      <c r="I812" s="83" t="s">
        <v>1202</v>
      </c>
      <c r="J812" s="83" t="s">
        <v>1203</v>
      </c>
      <c r="K812" s="83" t="s">
        <v>565</v>
      </c>
      <c r="L812" s="83" t="s">
        <v>398</v>
      </c>
      <c r="M812" s="83" t="s">
        <v>399</v>
      </c>
      <c r="N812" s="83">
        <v>32206</v>
      </c>
      <c r="AF812" s="124">
        <v>500000</v>
      </c>
    </row>
    <row r="813" spans="1:86">
      <c r="A813" s="116"/>
      <c r="B813" s="83" t="s">
        <v>4205</v>
      </c>
      <c r="E813" s="105" t="s">
        <v>4202</v>
      </c>
      <c r="F813" s="83">
        <v>3001</v>
      </c>
      <c r="G813" s="110" t="s">
        <v>4206</v>
      </c>
      <c r="H813" s="83" t="s">
        <v>1201</v>
      </c>
      <c r="I813" s="83" t="s">
        <v>1202</v>
      </c>
      <c r="J813" s="83" t="s">
        <v>1203</v>
      </c>
      <c r="K813" s="83" t="s">
        <v>565</v>
      </c>
      <c r="L813" s="83" t="s">
        <v>398</v>
      </c>
      <c r="M813" s="83" t="s">
        <v>399</v>
      </c>
      <c r="N813" s="83">
        <v>32206</v>
      </c>
      <c r="AF813" s="124">
        <v>330000</v>
      </c>
    </row>
    <row r="814" spans="1:86">
      <c r="A814" s="116"/>
      <c r="B814" s="83" t="s">
        <v>4205</v>
      </c>
      <c r="E814" s="105" t="s">
        <v>4203</v>
      </c>
      <c r="F814" s="83">
        <v>3001</v>
      </c>
      <c r="G814" s="110" t="s">
        <v>4206</v>
      </c>
      <c r="H814" s="83" t="s">
        <v>1201</v>
      </c>
      <c r="I814" s="83" t="s">
        <v>1202</v>
      </c>
      <c r="J814" s="83" t="s">
        <v>1203</v>
      </c>
      <c r="K814" s="83" t="s">
        <v>565</v>
      </c>
      <c r="L814" s="83" t="s">
        <v>398</v>
      </c>
      <c r="M814" s="83" t="s">
        <v>399</v>
      </c>
      <c r="N814" s="83">
        <v>32206</v>
      </c>
      <c r="AF814" s="124">
        <v>200000</v>
      </c>
    </row>
    <row r="815" spans="1:86">
      <c r="A815" s="116"/>
      <c r="B815" s="83" t="s">
        <v>4205</v>
      </c>
      <c r="E815" s="105" t="s">
        <v>4204</v>
      </c>
      <c r="F815" s="83">
        <v>3001</v>
      </c>
      <c r="G815" s="110" t="s">
        <v>4206</v>
      </c>
      <c r="H815" s="83" t="s">
        <v>1201</v>
      </c>
      <c r="I815" s="83" t="s">
        <v>1202</v>
      </c>
      <c r="J815" s="83" t="s">
        <v>1203</v>
      </c>
      <c r="K815" s="83" t="s">
        <v>565</v>
      </c>
      <c r="L815" s="83" t="s">
        <v>398</v>
      </c>
      <c r="M815" s="83" t="s">
        <v>399</v>
      </c>
      <c r="N815" s="83">
        <v>32206</v>
      </c>
      <c r="AF815" s="124">
        <v>50000</v>
      </c>
    </row>
    <row r="816" spans="1:86">
      <c r="B816" s="83" t="s">
        <v>4211</v>
      </c>
      <c r="E816" s="110" t="s">
        <v>4212</v>
      </c>
      <c r="F816" s="83">
        <v>9240</v>
      </c>
      <c r="G816" s="110" t="s">
        <v>4244</v>
      </c>
      <c r="H816" s="83" t="s">
        <v>1201</v>
      </c>
      <c r="I816" s="83" t="s">
        <v>1202</v>
      </c>
      <c r="J816" s="83" t="s">
        <v>1203</v>
      </c>
      <c r="K816" s="83" t="s">
        <v>565</v>
      </c>
      <c r="L816" s="83" t="s">
        <v>398</v>
      </c>
      <c r="M816" s="83" t="s">
        <v>399</v>
      </c>
      <c r="N816" s="83">
        <v>32226</v>
      </c>
      <c r="S816" s="109">
        <v>2002</v>
      </c>
      <c r="AD816" s="107">
        <v>2168542</v>
      </c>
      <c r="AE816" s="107"/>
      <c r="AF816" s="107"/>
      <c r="AK816" s="108">
        <v>1</v>
      </c>
      <c r="AL816" s="126">
        <v>47524</v>
      </c>
      <c r="CD816" s="108" t="s">
        <v>4253</v>
      </c>
      <c r="CH816" s="108">
        <v>3</v>
      </c>
    </row>
    <row r="817" spans="2:86">
      <c r="B817" s="83" t="s">
        <v>4211</v>
      </c>
      <c r="E817" s="110" t="s">
        <v>4213</v>
      </c>
      <c r="F817" s="83">
        <v>9240</v>
      </c>
      <c r="G817" s="110" t="s">
        <v>4244</v>
      </c>
      <c r="H817" s="83" t="s">
        <v>1201</v>
      </c>
      <c r="I817" s="83" t="s">
        <v>1202</v>
      </c>
      <c r="J817" s="83" t="s">
        <v>1203</v>
      </c>
      <c r="K817" s="83" t="s">
        <v>565</v>
      </c>
      <c r="L817" s="83" t="s">
        <v>398</v>
      </c>
      <c r="M817" s="83" t="s">
        <v>399</v>
      </c>
      <c r="N817" s="83">
        <v>32226</v>
      </c>
      <c r="S817" s="109">
        <v>1995</v>
      </c>
      <c r="AD817" s="83">
        <v>1389470</v>
      </c>
      <c r="AK817" s="108">
        <v>1</v>
      </c>
      <c r="AL817" s="126">
        <v>28611</v>
      </c>
      <c r="CD817" s="108" t="s">
        <v>4254</v>
      </c>
      <c r="CH817" s="108">
        <v>3</v>
      </c>
    </row>
    <row r="818" spans="2:86">
      <c r="B818" s="83" t="s">
        <v>4211</v>
      </c>
      <c r="E818" s="106" t="s">
        <v>4214</v>
      </c>
      <c r="F818" s="83">
        <v>9240</v>
      </c>
      <c r="G818" s="110" t="s">
        <v>4244</v>
      </c>
      <c r="H818" s="83" t="s">
        <v>1201</v>
      </c>
      <c r="I818" s="83" t="s">
        <v>1202</v>
      </c>
      <c r="J818" s="83" t="s">
        <v>1203</v>
      </c>
      <c r="K818" s="83" t="s">
        <v>565</v>
      </c>
      <c r="L818" s="83" t="s">
        <v>398</v>
      </c>
      <c r="M818" s="83" t="s">
        <v>399</v>
      </c>
      <c r="N818" s="83">
        <v>32226</v>
      </c>
      <c r="S818" s="109">
        <v>2002</v>
      </c>
      <c r="AD818" s="83">
        <v>5214283</v>
      </c>
      <c r="AK818" s="108">
        <v>1</v>
      </c>
      <c r="AL818" s="126">
        <v>118731</v>
      </c>
      <c r="CD818" s="108" t="s">
        <v>4254</v>
      </c>
      <c r="CH818" s="108">
        <v>3</v>
      </c>
    </row>
    <row r="819" spans="2:86">
      <c r="B819" s="83" t="s">
        <v>4211</v>
      </c>
      <c r="E819" s="106" t="s">
        <v>4215</v>
      </c>
      <c r="F819" s="83">
        <v>9240</v>
      </c>
      <c r="G819" s="110" t="s">
        <v>4244</v>
      </c>
      <c r="H819" s="83" t="s">
        <v>1201</v>
      </c>
      <c r="I819" s="83" t="s">
        <v>1202</v>
      </c>
      <c r="J819" s="83" t="s">
        <v>1203</v>
      </c>
      <c r="K819" s="83" t="s">
        <v>565</v>
      </c>
      <c r="L819" s="83" t="s">
        <v>398</v>
      </c>
      <c r="M819" s="83" t="s">
        <v>399</v>
      </c>
      <c r="N819" s="83">
        <v>32226</v>
      </c>
      <c r="S819" s="109"/>
      <c r="AD819" s="83">
        <v>603495</v>
      </c>
      <c r="AK819" s="108">
        <v>1</v>
      </c>
      <c r="AL819" s="126">
        <v>5000</v>
      </c>
      <c r="CD819" s="108" t="s">
        <v>4254</v>
      </c>
      <c r="CH819" s="108">
        <v>4</v>
      </c>
    </row>
    <row r="820" spans="2:86">
      <c r="B820" s="83" t="s">
        <v>4211</v>
      </c>
      <c r="E820" s="106" t="s">
        <v>4216</v>
      </c>
      <c r="F820" s="83">
        <v>5800</v>
      </c>
      <c r="G820" s="110" t="s">
        <v>4246</v>
      </c>
      <c r="H820" s="83" t="s">
        <v>1201</v>
      </c>
      <c r="I820" s="83" t="s">
        <v>1202</v>
      </c>
      <c r="J820" s="83" t="s">
        <v>1203</v>
      </c>
      <c r="K820" s="83" t="s">
        <v>565</v>
      </c>
      <c r="L820" s="83" t="s">
        <v>398</v>
      </c>
      <c r="M820" s="83" t="s">
        <v>399</v>
      </c>
      <c r="N820" s="83">
        <v>32226</v>
      </c>
      <c r="S820" s="109">
        <v>1990</v>
      </c>
      <c r="AD820" s="83">
        <v>155000</v>
      </c>
      <c r="AK820" s="108">
        <v>1</v>
      </c>
      <c r="AL820" s="126">
        <v>1224</v>
      </c>
      <c r="CD820" s="108" t="s">
        <v>4254</v>
      </c>
      <c r="CH820" s="108">
        <v>3</v>
      </c>
    </row>
    <row r="821" spans="2:86">
      <c r="B821" s="83" t="s">
        <v>4211</v>
      </c>
      <c r="E821" s="110" t="s">
        <v>4217</v>
      </c>
      <c r="F821" s="83">
        <v>5800</v>
      </c>
      <c r="G821" s="110" t="s">
        <v>4246</v>
      </c>
      <c r="H821" s="83" t="s">
        <v>1201</v>
      </c>
      <c r="I821" s="83" t="s">
        <v>1202</v>
      </c>
      <c r="J821" s="83" t="s">
        <v>1203</v>
      </c>
      <c r="K821" s="83" t="s">
        <v>565</v>
      </c>
      <c r="L821" s="83" t="s">
        <v>398</v>
      </c>
      <c r="M821" s="83" t="s">
        <v>399</v>
      </c>
      <c r="N821" s="83">
        <v>32226</v>
      </c>
      <c r="S821" s="109">
        <v>2004</v>
      </c>
      <c r="AD821" s="83">
        <v>1744004</v>
      </c>
      <c r="AK821" s="108">
        <v>1</v>
      </c>
      <c r="AL821" s="126">
        <v>15088</v>
      </c>
      <c r="CD821" s="108" t="s">
        <v>4254</v>
      </c>
      <c r="CH821" s="108">
        <v>3</v>
      </c>
    </row>
    <row r="822" spans="2:86">
      <c r="B822" s="83" t="s">
        <v>4211</v>
      </c>
      <c r="E822" s="110" t="s">
        <v>4218</v>
      </c>
      <c r="F822" s="83">
        <v>5800</v>
      </c>
      <c r="G822" s="110" t="s">
        <v>4246</v>
      </c>
      <c r="H822" s="83" t="s">
        <v>1201</v>
      </c>
      <c r="I822" s="83" t="s">
        <v>1202</v>
      </c>
      <c r="J822" s="83" t="s">
        <v>1203</v>
      </c>
      <c r="K822" s="83" t="s">
        <v>565</v>
      </c>
      <c r="L822" s="83" t="s">
        <v>398</v>
      </c>
      <c r="M822" s="83" t="s">
        <v>399</v>
      </c>
      <c r="N822" s="83">
        <v>32226</v>
      </c>
      <c r="S822" s="109"/>
      <c r="AD822" s="83">
        <v>492129</v>
      </c>
      <c r="AK822" s="108">
        <v>1</v>
      </c>
      <c r="AL822" s="126">
        <v>8680</v>
      </c>
      <c r="CD822" s="108" t="s">
        <v>4253</v>
      </c>
      <c r="CH822" s="108">
        <v>3</v>
      </c>
    </row>
    <row r="823" spans="2:86">
      <c r="B823" s="83" t="s">
        <v>4211</v>
      </c>
      <c r="E823" s="110" t="s">
        <v>4256</v>
      </c>
      <c r="F823" s="83">
        <v>5800</v>
      </c>
      <c r="G823" s="110" t="s">
        <v>4246</v>
      </c>
      <c r="H823" s="83" t="s">
        <v>1201</v>
      </c>
      <c r="I823" s="83" t="s">
        <v>1202</v>
      </c>
      <c r="J823" s="83" t="s">
        <v>1203</v>
      </c>
      <c r="K823" s="83" t="s">
        <v>565</v>
      </c>
      <c r="L823" s="83" t="s">
        <v>398</v>
      </c>
      <c r="M823" s="83" t="s">
        <v>399</v>
      </c>
      <c r="N823" s="83">
        <v>32226</v>
      </c>
      <c r="S823" s="109">
        <v>1966</v>
      </c>
      <c r="AD823" s="83">
        <v>3428253</v>
      </c>
      <c r="AK823" s="108">
        <v>1</v>
      </c>
      <c r="AL823" s="126">
        <v>60000</v>
      </c>
      <c r="CD823" s="108" t="s">
        <v>4254</v>
      </c>
      <c r="CH823" s="108">
        <v>4</v>
      </c>
    </row>
    <row r="824" spans="2:86">
      <c r="B824" s="83" t="s">
        <v>4211</v>
      </c>
      <c r="E824" s="110" t="s">
        <v>4219</v>
      </c>
      <c r="F824" s="83">
        <v>5800</v>
      </c>
      <c r="G824" s="110" t="s">
        <v>4246</v>
      </c>
      <c r="H824" s="83" t="s">
        <v>1201</v>
      </c>
      <c r="I824" s="83" t="s">
        <v>1202</v>
      </c>
      <c r="J824" s="83" t="s">
        <v>1203</v>
      </c>
      <c r="K824" s="83" t="s">
        <v>565</v>
      </c>
      <c r="L824" s="83" t="s">
        <v>398</v>
      </c>
      <c r="M824" s="83" t="s">
        <v>399</v>
      </c>
      <c r="N824" s="83">
        <v>32226</v>
      </c>
      <c r="S824" s="109"/>
      <c r="AD824" s="83">
        <v>842217</v>
      </c>
      <c r="AK824" s="108">
        <v>3</v>
      </c>
      <c r="AL824" s="126">
        <v>6869</v>
      </c>
      <c r="CD824" s="108" t="s">
        <v>4254</v>
      </c>
      <c r="CH824" s="108">
        <v>3</v>
      </c>
    </row>
    <row r="825" spans="2:86">
      <c r="B825" s="83" t="s">
        <v>4211</v>
      </c>
      <c r="E825" s="110" t="s">
        <v>4220</v>
      </c>
      <c r="F825" s="83">
        <v>5800</v>
      </c>
      <c r="G825" s="110" t="s">
        <v>4246</v>
      </c>
      <c r="H825" s="83" t="s">
        <v>1201</v>
      </c>
      <c r="I825" s="83" t="s">
        <v>1202</v>
      </c>
      <c r="J825" s="83" t="s">
        <v>1203</v>
      </c>
      <c r="K825" s="83" t="s">
        <v>565</v>
      </c>
      <c r="L825" s="83" t="s">
        <v>398</v>
      </c>
      <c r="M825" s="83" t="s">
        <v>399</v>
      </c>
      <c r="N825" s="83">
        <v>32226</v>
      </c>
      <c r="S825" s="109"/>
      <c r="AD825" s="83">
        <v>531676</v>
      </c>
      <c r="AK825" s="108">
        <v>1</v>
      </c>
      <c r="AL825" s="126">
        <v>11856</v>
      </c>
      <c r="CD825" s="108" t="s">
        <v>4253</v>
      </c>
      <c r="CH825" s="108">
        <v>3</v>
      </c>
    </row>
    <row r="826" spans="2:86">
      <c r="B826" s="83" t="s">
        <v>4211</v>
      </c>
      <c r="E826" s="110" t="s">
        <v>4221</v>
      </c>
      <c r="F826" s="83">
        <v>5945</v>
      </c>
      <c r="G826" s="125" t="s">
        <v>4246</v>
      </c>
      <c r="H826" s="83" t="s">
        <v>1201</v>
      </c>
      <c r="I826" s="83" t="s">
        <v>1202</v>
      </c>
      <c r="J826" s="83" t="s">
        <v>1203</v>
      </c>
      <c r="K826" s="83" t="s">
        <v>565</v>
      </c>
      <c r="L826" s="83" t="s">
        <v>398</v>
      </c>
      <c r="M826" s="83" t="s">
        <v>399</v>
      </c>
      <c r="N826" s="83">
        <v>32226</v>
      </c>
      <c r="S826" s="125"/>
      <c r="AD826" s="83">
        <v>504815</v>
      </c>
      <c r="AK826" s="125">
        <v>1</v>
      </c>
      <c r="AL826" s="125">
        <v>3939</v>
      </c>
      <c r="CD826" s="108" t="s">
        <v>4255</v>
      </c>
      <c r="CH826" s="108">
        <v>3</v>
      </c>
    </row>
    <row r="827" spans="2:86">
      <c r="B827" s="83" t="s">
        <v>4211</v>
      </c>
      <c r="E827" s="106" t="s">
        <v>4222</v>
      </c>
      <c r="F827" s="83">
        <v>5945</v>
      </c>
      <c r="G827" s="125" t="s">
        <v>4246</v>
      </c>
      <c r="H827" s="83" t="s">
        <v>1201</v>
      </c>
      <c r="I827" s="83" t="s">
        <v>1202</v>
      </c>
      <c r="J827" s="83" t="s">
        <v>1203</v>
      </c>
      <c r="K827" s="83" t="s">
        <v>565</v>
      </c>
      <c r="L827" s="83" t="s">
        <v>398</v>
      </c>
      <c r="M827" s="83" t="s">
        <v>399</v>
      </c>
      <c r="N827" s="83">
        <v>32226</v>
      </c>
      <c r="S827" s="125">
        <v>1975</v>
      </c>
      <c r="AD827" s="83">
        <v>261487</v>
      </c>
      <c r="AK827" s="125">
        <v>1</v>
      </c>
      <c r="AL827" s="125">
        <v>13800</v>
      </c>
      <c r="CD827" s="108" t="s">
        <v>4254</v>
      </c>
      <c r="CH827" s="125"/>
    </row>
    <row r="828" spans="2:86">
      <c r="B828" s="83" t="s">
        <v>4211</v>
      </c>
      <c r="E828" s="110" t="s">
        <v>4223</v>
      </c>
      <c r="F828" s="83">
        <v>5945</v>
      </c>
      <c r="G828" s="110" t="s">
        <v>4246</v>
      </c>
      <c r="H828" s="83" t="s">
        <v>1201</v>
      </c>
      <c r="I828" s="83" t="s">
        <v>1202</v>
      </c>
      <c r="J828" s="83" t="s">
        <v>1203</v>
      </c>
      <c r="K828" s="83" t="s">
        <v>565</v>
      </c>
      <c r="L828" s="83" t="s">
        <v>398</v>
      </c>
      <c r="M828" s="83" t="s">
        <v>399</v>
      </c>
      <c r="N828" s="83">
        <v>32226</v>
      </c>
      <c r="S828" s="109">
        <v>1991</v>
      </c>
      <c r="AD828" s="83">
        <v>1331091</v>
      </c>
      <c r="AK828" s="108">
        <v>1</v>
      </c>
      <c r="AL828" s="126">
        <v>18156</v>
      </c>
      <c r="CD828" s="108" t="s">
        <v>4253</v>
      </c>
      <c r="CH828" s="108">
        <v>3</v>
      </c>
    </row>
    <row r="829" spans="2:86">
      <c r="B829" s="83" t="s">
        <v>4211</v>
      </c>
      <c r="E829" s="110" t="s">
        <v>4224</v>
      </c>
      <c r="G829" s="110" t="s">
        <v>4242</v>
      </c>
      <c r="H829" s="83" t="s">
        <v>1201</v>
      </c>
      <c r="I829" s="83" t="s">
        <v>1202</v>
      </c>
      <c r="J829" s="83" t="s">
        <v>1203</v>
      </c>
      <c r="K829" s="83" t="s">
        <v>565</v>
      </c>
      <c r="L829" s="83" t="s">
        <v>398</v>
      </c>
      <c r="M829" s="83" t="s">
        <v>399</v>
      </c>
      <c r="N829" s="83">
        <v>32226</v>
      </c>
      <c r="S829" s="109">
        <v>2000</v>
      </c>
      <c r="AD829" s="83">
        <v>3950612</v>
      </c>
      <c r="AK829" s="108">
        <v>1</v>
      </c>
      <c r="AL829" s="126">
        <v>90000</v>
      </c>
      <c r="CD829" s="108" t="s">
        <v>4254</v>
      </c>
      <c r="CH829" s="108">
        <v>3</v>
      </c>
    </row>
    <row r="830" spans="2:86">
      <c r="B830" s="83" t="s">
        <v>4211</v>
      </c>
      <c r="E830" s="110" t="s">
        <v>4225</v>
      </c>
      <c r="G830" s="110" t="s">
        <v>4243</v>
      </c>
      <c r="H830" s="83" t="s">
        <v>1201</v>
      </c>
      <c r="I830" s="83" t="s">
        <v>1202</v>
      </c>
      <c r="J830" s="83" t="s">
        <v>1203</v>
      </c>
      <c r="K830" s="83" t="s">
        <v>565</v>
      </c>
      <c r="L830" s="83" t="s">
        <v>398</v>
      </c>
      <c r="M830" s="83" t="s">
        <v>399</v>
      </c>
      <c r="N830" s="83">
        <v>32226</v>
      </c>
      <c r="S830" s="109">
        <v>1984</v>
      </c>
      <c r="AD830" s="83">
        <v>1067531</v>
      </c>
      <c r="AK830" s="108">
        <v>2</v>
      </c>
      <c r="AL830" s="126">
        <v>9440</v>
      </c>
      <c r="CD830" s="108" t="s">
        <v>4254</v>
      </c>
      <c r="CH830" s="108">
        <v>3</v>
      </c>
    </row>
    <row r="831" spans="2:86">
      <c r="B831" s="83" t="s">
        <v>4211</v>
      </c>
      <c r="E831" s="106" t="s">
        <v>4226</v>
      </c>
      <c r="G831" s="110" t="s">
        <v>4244</v>
      </c>
      <c r="H831" s="83" t="s">
        <v>1201</v>
      </c>
      <c r="I831" s="83" t="s">
        <v>1202</v>
      </c>
      <c r="J831" s="83" t="s">
        <v>1203</v>
      </c>
      <c r="K831" s="83" t="s">
        <v>565</v>
      </c>
      <c r="L831" s="83" t="s">
        <v>398</v>
      </c>
      <c r="M831" s="83" t="s">
        <v>399</v>
      </c>
      <c r="N831" s="83">
        <v>32226</v>
      </c>
      <c r="S831" s="109"/>
      <c r="AD831" s="83">
        <v>1273039</v>
      </c>
      <c r="AK831" s="108">
        <v>1</v>
      </c>
      <c r="AL831" s="126">
        <v>27000</v>
      </c>
      <c r="CD831" s="108" t="s">
        <v>4254</v>
      </c>
      <c r="CH831" s="108">
        <v>3</v>
      </c>
    </row>
    <row r="832" spans="2:86">
      <c r="B832" s="83" t="s">
        <v>4211</v>
      </c>
      <c r="E832" s="106" t="s">
        <v>4227</v>
      </c>
      <c r="G832" s="110" t="s">
        <v>4244</v>
      </c>
      <c r="H832" s="83" t="s">
        <v>1201</v>
      </c>
      <c r="I832" s="83" t="s">
        <v>1202</v>
      </c>
      <c r="J832" s="83" t="s">
        <v>1203</v>
      </c>
      <c r="K832" s="83" t="s">
        <v>565</v>
      </c>
      <c r="L832" s="83" t="s">
        <v>398</v>
      </c>
      <c r="M832" s="83" t="s">
        <v>399</v>
      </c>
      <c r="N832" s="83">
        <v>32226</v>
      </c>
      <c r="S832" s="109"/>
      <c r="AD832" s="83">
        <v>301881</v>
      </c>
      <c r="AK832" s="108">
        <v>1</v>
      </c>
      <c r="AL832" s="126">
        <v>10240</v>
      </c>
      <c r="CD832" s="108" t="s">
        <v>4254</v>
      </c>
      <c r="CH832" s="108">
        <v>3</v>
      </c>
    </row>
    <row r="833" spans="1:86">
      <c r="B833" s="83" t="s">
        <v>4211</v>
      </c>
      <c r="E833" s="106" t="s">
        <v>4228</v>
      </c>
      <c r="G833" s="110" t="s">
        <v>4244</v>
      </c>
      <c r="H833" s="83" t="s">
        <v>1201</v>
      </c>
      <c r="I833" s="83" t="s">
        <v>1202</v>
      </c>
      <c r="J833" s="83" t="s">
        <v>1203</v>
      </c>
      <c r="K833" s="83" t="s">
        <v>565</v>
      </c>
      <c r="L833" s="83" t="s">
        <v>398</v>
      </c>
      <c r="M833" s="83" t="s">
        <v>399</v>
      </c>
      <c r="N833" s="83">
        <v>32226</v>
      </c>
      <c r="S833" s="109"/>
      <c r="AD833" s="83">
        <v>744549</v>
      </c>
      <c r="AK833" s="108">
        <v>1</v>
      </c>
      <c r="AL833" s="126">
        <v>12960</v>
      </c>
      <c r="CD833" s="108" t="s">
        <v>4254</v>
      </c>
      <c r="CH833" s="108">
        <v>3</v>
      </c>
    </row>
    <row r="834" spans="1:86">
      <c r="B834" s="83" t="s">
        <v>4211</v>
      </c>
      <c r="E834" s="106" t="s">
        <v>4229</v>
      </c>
      <c r="G834" s="110" t="s">
        <v>4244</v>
      </c>
      <c r="H834" s="83" t="s">
        <v>1201</v>
      </c>
      <c r="I834" s="83" t="s">
        <v>1202</v>
      </c>
      <c r="J834" s="83" t="s">
        <v>1203</v>
      </c>
      <c r="K834" s="83" t="s">
        <v>565</v>
      </c>
      <c r="L834" s="83" t="s">
        <v>398</v>
      </c>
      <c r="M834" s="83" t="s">
        <v>399</v>
      </c>
      <c r="N834" s="83">
        <v>32226</v>
      </c>
      <c r="S834" s="109"/>
      <c r="AD834" s="83">
        <v>85945</v>
      </c>
      <c r="AK834" s="108">
        <v>1</v>
      </c>
      <c r="AL834" s="126">
        <v>1026</v>
      </c>
      <c r="CD834" s="108" t="s">
        <v>4254</v>
      </c>
      <c r="CH834" s="108">
        <v>3</v>
      </c>
    </row>
    <row r="835" spans="1:86">
      <c r="B835" s="83" t="s">
        <v>4211</v>
      </c>
      <c r="E835" s="106" t="s">
        <v>4230</v>
      </c>
      <c r="G835" s="110" t="s">
        <v>4244</v>
      </c>
      <c r="H835" s="83" t="s">
        <v>1201</v>
      </c>
      <c r="I835" s="83" t="s">
        <v>1202</v>
      </c>
      <c r="J835" s="83" t="s">
        <v>1203</v>
      </c>
      <c r="K835" s="83" t="s">
        <v>565</v>
      </c>
      <c r="L835" s="83" t="s">
        <v>398</v>
      </c>
      <c r="M835" s="83" t="s">
        <v>399</v>
      </c>
      <c r="N835" s="83">
        <v>32226</v>
      </c>
      <c r="S835" s="109"/>
      <c r="AD835" s="83">
        <v>158061</v>
      </c>
      <c r="AK835" s="108">
        <v>1</v>
      </c>
      <c r="AL835" s="126">
        <v>2664</v>
      </c>
      <c r="CD835" s="108" t="s">
        <v>4254</v>
      </c>
      <c r="CH835" s="108">
        <v>3</v>
      </c>
    </row>
    <row r="836" spans="1:86">
      <c r="B836" s="83" t="s">
        <v>4211</v>
      </c>
      <c r="E836" s="110" t="s">
        <v>4231</v>
      </c>
      <c r="G836" s="110" t="s">
        <v>4245</v>
      </c>
      <c r="H836" s="83" t="s">
        <v>1201</v>
      </c>
      <c r="I836" s="83" t="s">
        <v>1202</v>
      </c>
      <c r="J836" s="83" t="s">
        <v>1203</v>
      </c>
      <c r="K836" s="83" t="s">
        <v>565</v>
      </c>
      <c r="L836" s="83" t="s">
        <v>398</v>
      </c>
      <c r="M836" s="83" t="s">
        <v>399</v>
      </c>
      <c r="N836" s="83">
        <v>32226</v>
      </c>
      <c r="S836" s="109"/>
      <c r="AD836" s="83">
        <v>551548</v>
      </c>
      <c r="AK836" s="108">
        <v>1</v>
      </c>
      <c r="AL836" s="126">
        <v>3984</v>
      </c>
      <c r="CD836" s="108" t="s">
        <v>4253</v>
      </c>
      <c r="CH836" s="108">
        <v>3</v>
      </c>
    </row>
    <row r="837" spans="1:86">
      <c r="B837" s="83" t="s">
        <v>4211</v>
      </c>
      <c r="E837" s="110" t="s">
        <v>4232</v>
      </c>
      <c r="F837" s="83">
        <v>8710</v>
      </c>
      <c r="G837" s="110" t="s">
        <v>4247</v>
      </c>
      <c r="H837" s="83" t="s">
        <v>1201</v>
      </c>
      <c r="I837" s="83" t="s">
        <v>1202</v>
      </c>
      <c r="J837" s="83" t="s">
        <v>1203</v>
      </c>
      <c r="K837" s="83" t="s">
        <v>565</v>
      </c>
      <c r="L837" s="83" t="s">
        <v>398</v>
      </c>
      <c r="M837" s="83" t="s">
        <v>399</v>
      </c>
      <c r="N837" s="83">
        <v>32226</v>
      </c>
      <c r="S837" s="109"/>
      <c r="AD837" s="83">
        <v>110000</v>
      </c>
      <c r="AK837" s="108">
        <v>1</v>
      </c>
      <c r="AL837" s="126">
        <v>1500</v>
      </c>
      <c r="CD837" s="108" t="s">
        <v>4253</v>
      </c>
      <c r="CH837" s="108">
        <v>3</v>
      </c>
    </row>
    <row r="838" spans="1:86">
      <c r="B838" s="83" t="s">
        <v>4211</v>
      </c>
      <c r="E838" s="110" t="s">
        <v>4233</v>
      </c>
      <c r="F838" s="83">
        <v>8710</v>
      </c>
      <c r="G838" s="110" t="s">
        <v>4247</v>
      </c>
      <c r="H838" s="83" t="s">
        <v>1201</v>
      </c>
      <c r="I838" s="83" t="s">
        <v>1202</v>
      </c>
      <c r="J838" s="83" t="s">
        <v>1203</v>
      </c>
      <c r="K838" s="83" t="s">
        <v>565</v>
      </c>
      <c r="L838" s="83" t="s">
        <v>398</v>
      </c>
      <c r="M838" s="83" t="s">
        <v>399</v>
      </c>
      <c r="N838" s="83">
        <v>32226</v>
      </c>
      <c r="S838" s="109"/>
      <c r="AD838" s="83">
        <v>195728</v>
      </c>
      <c r="AK838" s="108">
        <v>1</v>
      </c>
      <c r="AL838" s="126">
        <v>4680</v>
      </c>
      <c r="CD838" s="108" t="s">
        <v>4254</v>
      </c>
      <c r="CH838" s="108">
        <v>3</v>
      </c>
    </row>
    <row r="839" spans="1:86">
      <c r="B839" s="83" t="s">
        <v>4211</v>
      </c>
      <c r="E839" s="110" t="s">
        <v>4234</v>
      </c>
      <c r="F839" s="83">
        <v>8710</v>
      </c>
      <c r="G839" s="110" t="s">
        <v>4247</v>
      </c>
      <c r="H839" s="83" t="s">
        <v>1201</v>
      </c>
      <c r="I839" s="83" t="s">
        <v>1202</v>
      </c>
      <c r="J839" s="83" t="s">
        <v>1203</v>
      </c>
      <c r="K839" s="83" t="s">
        <v>565</v>
      </c>
      <c r="L839" s="83" t="s">
        <v>398</v>
      </c>
      <c r="M839" s="83" t="s">
        <v>399</v>
      </c>
      <c r="N839" s="83">
        <v>32226</v>
      </c>
      <c r="S839" s="109"/>
      <c r="AD839" s="83">
        <v>339230</v>
      </c>
      <c r="AK839" s="108">
        <v>1</v>
      </c>
      <c r="AL839" s="126">
        <v>6400</v>
      </c>
      <c r="CD839" s="108" t="s">
        <v>4254</v>
      </c>
      <c r="CH839" s="108">
        <v>3</v>
      </c>
    </row>
    <row r="840" spans="1:86">
      <c r="B840" s="83" t="s">
        <v>4211</v>
      </c>
      <c r="E840" s="110" t="s">
        <v>4235</v>
      </c>
      <c r="F840" s="83">
        <v>9620</v>
      </c>
      <c r="G840" s="110" t="s">
        <v>4248</v>
      </c>
      <c r="H840" s="83" t="s">
        <v>1201</v>
      </c>
      <c r="I840" s="83" t="s">
        <v>1202</v>
      </c>
      <c r="J840" s="83" t="s">
        <v>1203</v>
      </c>
      <c r="K840" s="83" t="s">
        <v>565</v>
      </c>
      <c r="L840" s="83" t="s">
        <v>398</v>
      </c>
      <c r="M840" s="83" t="s">
        <v>399</v>
      </c>
      <c r="N840" s="83">
        <v>32226</v>
      </c>
      <c r="S840" s="109"/>
      <c r="AD840" s="83">
        <v>604622</v>
      </c>
      <c r="AK840" s="108">
        <v>1</v>
      </c>
      <c r="AL840" s="126">
        <v>8920</v>
      </c>
      <c r="CD840" s="108" t="s">
        <v>4253</v>
      </c>
      <c r="CH840" s="108">
        <v>3</v>
      </c>
    </row>
    <row r="841" spans="1:86">
      <c r="B841" s="83" t="s">
        <v>4211</v>
      </c>
      <c r="E841" s="110" t="s">
        <v>4236</v>
      </c>
      <c r="F841" s="83">
        <v>9620</v>
      </c>
      <c r="G841" s="110" t="s">
        <v>4248</v>
      </c>
      <c r="H841" s="83" t="s">
        <v>1201</v>
      </c>
      <c r="I841" s="83" t="s">
        <v>1202</v>
      </c>
      <c r="J841" s="83" t="s">
        <v>1203</v>
      </c>
      <c r="K841" s="83" t="s">
        <v>565</v>
      </c>
      <c r="L841" s="83" t="s">
        <v>398</v>
      </c>
      <c r="M841" s="83" t="s">
        <v>399</v>
      </c>
      <c r="N841" s="83">
        <v>32226</v>
      </c>
      <c r="S841" s="109"/>
      <c r="AD841" s="83">
        <v>507053</v>
      </c>
      <c r="AK841" s="108">
        <v>1</v>
      </c>
      <c r="AL841" s="126">
        <v>14000</v>
      </c>
      <c r="CD841" s="108" t="s">
        <v>4253</v>
      </c>
      <c r="CH841" s="108">
        <v>3</v>
      </c>
    </row>
    <row r="842" spans="1:86">
      <c r="B842" s="83" t="s">
        <v>4211</v>
      </c>
      <c r="E842" s="110" t="s">
        <v>4237</v>
      </c>
      <c r="F842" s="83">
        <v>9600</v>
      </c>
      <c r="G842" s="110" t="s">
        <v>4249</v>
      </c>
      <c r="H842" s="83" t="s">
        <v>1201</v>
      </c>
      <c r="I842" s="83" t="s">
        <v>1202</v>
      </c>
      <c r="J842" s="83" t="s">
        <v>1203</v>
      </c>
      <c r="K842" s="83" t="s">
        <v>565</v>
      </c>
      <c r="L842" s="83" t="s">
        <v>398</v>
      </c>
      <c r="M842" s="83" t="s">
        <v>399</v>
      </c>
      <c r="N842" s="83">
        <v>32226</v>
      </c>
      <c r="S842" s="109">
        <v>1969</v>
      </c>
      <c r="AD842" s="83">
        <v>14389668</v>
      </c>
      <c r="AK842" s="108">
        <v>1</v>
      </c>
      <c r="AL842" s="126">
        <v>240000</v>
      </c>
      <c r="CD842" s="108" t="s">
        <v>4254</v>
      </c>
      <c r="CH842" s="108">
        <v>4</v>
      </c>
    </row>
    <row r="843" spans="1:86">
      <c r="B843" s="83" t="s">
        <v>4211</v>
      </c>
      <c r="E843" s="110" t="s">
        <v>4238</v>
      </c>
      <c r="F843" s="83">
        <v>5090</v>
      </c>
      <c r="G843" s="110" t="s">
        <v>4250</v>
      </c>
      <c r="H843" s="83" t="s">
        <v>1201</v>
      </c>
      <c r="I843" s="83" t="s">
        <v>1202</v>
      </c>
      <c r="J843" s="83" t="s">
        <v>1203</v>
      </c>
      <c r="K843" s="83" t="s">
        <v>565</v>
      </c>
      <c r="L843" s="83" t="s">
        <v>398</v>
      </c>
      <c r="M843" s="83" t="s">
        <v>399</v>
      </c>
      <c r="N843" s="83">
        <v>32226</v>
      </c>
      <c r="S843" s="109"/>
      <c r="AD843" s="83">
        <v>5099000</v>
      </c>
      <c r="AK843" s="108">
        <v>3</v>
      </c>
      <c r="AL843" s="126">
        <v>60528</v>
      </c>
      <c r="CD843" s="108" t="s">
        <v>4253</v>
      </c>
      <c r="CH843" s="108">
        <v>2</v>
      </c>
    </row>
    <row r="844" spans="1:86">
      <c r="B844" s="83" t="s">
        <v>4211</v>
      </c>
      <c r="E844" s="110" t="s">
        <v>4239</v>
      </c>
      <c r="F844" s="83">
        <v>5160</v>
      </c>
      <c r="G844" s="110" t="s">
        <v>4250</v>
      </c>
      <c r="H844" s="83" t="s">
        <v>1201</v>
      </c>
      <c r="I844" s="83" t="s">
        <v>1202</v>
      </c>
      <c r="J844" s="83" t="s">
        <v>1203</v>
      </c>
      <c r="K844" s="83" t="s">
        <v>565</v>
      </c>
      <c r="L844" s="83" t="s">
        <v>398</v>
      </c>
      <c r="M844" s="83" t="s">
        <v>399</v>
      </c>
      <c r="N844" s="83">
        <v>32226</v>
      </c>
      <c r="S844" s="109"/>
      <c r="AD844" s="83">
        <v>539397</v>
      </c>
      <c r="AK844" s="108">
        <v>1</v>
      </c>
      <c r="AL844" s="126">
        <v>5000</v>
      </c>
      <c r="CD844" s="108" t="s">
        <v>4253</v>
      </c>
      <c r="CH844" s="108">
        <v>3</v>
      </c>
    </row>
    <row r="845" spans="1:86" ht="27">
      <c r="B845" s="83" t="s">
        <v>4211</v>
      </c>
      <c r="E845" s="110" t="s">
        <v>4240</v>
      </c>
      <c r="F845" s="83">
        <v>8975</v>
      </c>
      <c r="G845" s="109" t="s">
        <v>4251</v>
      </c>
      <c r="H845" s="83" t="s">
        <v>1201</v>
      </c>
      <c r="I845" s="83" t="s">
        <v>1202</v>
      </c>
      <c r="J845" s="83" t="s">
        <v>1203</v>
      </c>
      <c r="K845" s="83" t="s">
        <v>565</v>
      </c>
      <c r="L845" s="83" t="s">
        <v>398</v>
      </c>
      <c r="M845" s="83" t="s">
        <v>399</v>
      </c>
      <c r="N845" s="83">
        <v>32226</v>
      </c>
      <c r="S845" s="109"/>
      <c r="AD845" s="83">
        <v>3129273</v>
      </c>
      <c r="AK845" s="108">
        <v>1</v>
      </c>
      <c r="AL845" s="126">
        <v>62800</v>
      </c>
      <c r="CD845" s="108" t="s">
        <v>4254</v>
      </c>
      <c r="CH845" s="108">
        <v>3</v>
      </c>
    </row>
    <row r="846" spans="1:86" ht="27">
      <c r="B846" s="83" t="s">
        <v>4211</v>
      </c>
      <c r="E846" s="110" t="s">
        <v>4241</v>
      </c>
      <c r="F846" s="83">
        <v>8975</v>
      </c>
      <c r="G846" s="109" t="s">
        <v>4252</v>
      </c>
      <c r="H846" s="83" t="s">
        <v>1201</v>
      </c>
      <c r="I846" s="83" t="s">
        <v>1202</v>
      </c>
      <c r="J846" s="83" t="s">
        <v>1203</v>
      </c>
      <c r="K846" s="83" t="s">
        <v>565</v>
      </c>
      <c r="L846" s="83" t="s">
        <v>398</v>
      </c>
      <c r="M846" s="83" t="s">
        <v>399</v>
      </c>
      <c r="N846" s="83">
        <v>32226</v>
      </c>
      <c r="S846" s="109">
        <v>2004</v>
      </c>
      <c r="AD846" s="83">
        <v>4148429</v>
      </c>
      <c r="AK846" s="108">
        <v>1</v>
      </c>
      <c r="AL846" s="126">
        <v>85832</v>
      </c>
      <c r="CD846" s="108" t="s">
        <v>4254</v>
      </c>
      <c r="CH846" s="108">
        <v>3</v>
      </c>
    </row>
    <row r="847" spans="1:86">
      <c r="A847" s="106">
        <v>1405</v>
      </c>
      <c r="B847" s="83" t="s">
        <v>4211</v>
      </c>
      <c r="E847" s="106" t="s">
        <v>4257</v>
      </c>
      <c r="AD847" s="107" t="s">
        <v>112</v>
      </c>
      <c r="AF847" s="83">
        <v>400000</v>
      </c>
    </row>
    <row r="848" spans="1:86">
      <c r="A848" s="106">
        <v>10486</v>
      </c>
      <c r="B848" s="83" t="s">
        <v>4211</v>
      </c>
      <c r="E848" s="106" t="s">
        <v>4258</v>
      </c>
      <c r="AF848" s="83">
        <v>10000000</v>
      </c>
    </row>
    <row r="849" spans="1:32">
      <c r="A849" s="106">
        <v>10487</v>
      </c>
      <c r="B849" s="83" t="s">
        <v>4211</v>
      </c>
      <c r="E849" s="106" t="s">
        <v>4258</v>
      </c>
      <c r="AF849" s="83">
        <v>10000000</v>
      </c>
    </row>
    <row r="850" spans="1:32">
      <c r="A850" s="106">
        <v>2209</v>
      </c>
      <c r="B850" s="83" t="s">
        <v>4211</v>
      </c>
      <c r="E850" s="106" t="s">
        <v>4175</v>
      </c>
      <c r="AF850" s="83">
        <v>10000000</v>
      </c>
    </row>
    <row r="851" spans="1:32">
      <c r="A851" s="106">
        <v>2253</v>
      </c>
      <c r="B851" s="83" t="s">
        <v>4211</v>
      </c>
      <c r="E851" s="106" t="s">
        <v>4175</v>
      </c>
      <c r="AF851" s="83">
        <v>10000000</v>
      </c>
    </row>
    <row r="852" spans="1:32">
      <c r="A852" s="106">
        <v>8841</v>
      </c>
      <c r="B852" s="83" t="s">
        <v>4211</v>
      </c>
      <c r="E852" s="106" t="s">
        <v>4259</v>
      </c>
      <c r="AF852" s="83">
        <v>10000000</v>
      </c>
    </row>
    <row r="853" spans="1:32">
      <c r="A853" s="106">
        <v>8810</v>
      </c>
      <c r="B853" s="83" t="s">
        <v>4211</v>
      </c>
      <c r="E853" s="106" t="s">
        <v>4259</v>
      </c>
      <c r="AF853" s="83">
        <v>10000000</v>
      </c>
    </row>
    <row r="854" spans="1:32">
      <c r="A854" s="106">
        <v>8811</v>
      </c>
      <c r="B854" s="83" t="s">
        <v>4211</v>
      </c>
      <c r="E854" s="106" t="s">
        <v>4259</v>
      </c>
      <c r="AF854" s="83">
        <v>10000000</v>
      </c>
    </row>
    <row r="855" spans="1:32">
      <c r="A855" s="106">
        <v>3805</v>
      </c>
      <c r="B855" s="83" t="s">
        <v>4211</v>
      </c>
      <c r="E855" s="106" t="s">
        <v>4260</v>
      </c>
      <c r="AF855" s="83">
        <v>10000000</v>
      </c>
    </row>
    <row r="856" spans="1:32">
      <c r="A856" s="106">
        <v>10452</v>
      </c>
      <c r="B856" s="83" t="s">
        <v>4211</v>
      </c>
      <c r="E856" s="106" t="s">
        <v>4261</v>
      </c>
      <c r="AF856" s="83">
        <v>99320</v>
      </c>
    </row>
    <row r="857" spans="1:32">
      <c r="A857" s="106">
        <v>2275</v>
      </c>
      <c r="B857" s="83" t="s">
        <v>4211</v>
      </c>
      <c r="E857" s="106" t="s">
        <v>4262</v>
      </c>
      <c r="AF857" s="83">
        <v>50000</v>
      </c>
    </row>
    <row r="858" spans="1:32">
      <c r="A858" s="106">
        <v>3430</v>
      </c>
      <c r="B858" s="83" t="s">
        <v>4211</v>
      </c>
      <c r="E858" s="106" t="s">
        <v>4263</v>
      </c>
      <c r="AF858" s="83">
        <v>170000</v>
      </c>
    </row>
    <row r="859" spans="1:32">
      <c r="A859" s="106">
        <v>3434</v>
      </c>
      <c r="B859" s="83" t="s">
        <v>4211</v>
      </c>
      <c r="E859" s="106" t="s">
        <v>4263</v>
      </c>
      <c r="AF859" s="83">
        <v>170000</v>
      </c>
    </row>
    <row r="860" spans="1:32">
      <c r="A860" s="106">
        <v>3702</v>
      </c>
      <c r="B860" s="83" t="s">
        <v>4211</v>
      </c>
      <c r="E860" s="106" t="s">
        <v>4263</v>
      </c>
      <c r="AF860" s="83">
        <v>170000</v>
      </c>
    </row>
    <row r="861" spans="1:32">
      <c r="A861" s="106">
        <v>3703</v>
      </c>
      <c r="B861" s="83" t="s">
        <v>4211</v>
      </c>
      <c r="E861" s="106" t="s">
        <v>4263</v>
      </c>
      <c r="AF861" s="83">
        <v>170000</v>
      </c>
    </row>
    <row r="862" spans="1:32">
      <c r="A862" s="106">
        <v>8376</v>
      </c>
      <c r="B862" s="83" t="s">
        <v>4211</v>
      </c>
      <c r="E862" s="106" t="s">
        <v>4264</v>
      </c>
      <c r="AF862" s="83">
        <v>160000</v>
      </c>
    </row>
    <row r="863" spans="1:32">
      <c r="A863" s="106">
        <v>8272</v>
      </c>
      <c r="B863" s="83" t="s">
        <v>4211</v>
      </c>
      <c r="E863" s="106" t="s">
        <v>4264</v>
      </c>
      <c r="AF863" s="83">
        <v>160000</v>
      </c>
    </row>
    <row r="864" spans="1:32">
      <c r="A864" s="106">
        <v>8732</v>
      </c>
      <c r="B864" s="83" t="s">
        <v>4211</v>
      </c>
      <c r="E864" s="106" t="s">
        <v>4265</v>
      </c>
      <c r="AF864" s="83">
        <v>160000</v>
      </c>
    </row>
    <row r="865" spans="1:32">
      <c r="A865" s="106">
        <v>8733</v>
      </c>
      <c r="B865" s="83" t="s">
        <v>4211</v>
      </c>
      <c r="E865" s="106" t="s">
        <v>4265</v>
      </c>
      <c r="AF865" s="83">
        <v>160000</v>
      </c>
    </row>
    <row r="866" spans="1:32">
      <c r="A866" s="106">
        <v>8823</v>
      </c>
      <c r="B866" s="83" t="s">
        <v>4211</v>
      </c>
      <c r="E866" s="106" t="s">
        <v>4265</v>
      </c>
      <c r="AF866" s="83">
        <v>160000</v>
      </c>
    </row>
    <row r="867" spans="1:32">
      <c r="A867" s="106">
        <v>8843</v>
      </c>
      <c r="B867" s="83" t="s">
        <v>4211</v>
      </c>
      <c r="E867" s="106" t="s">
        <v>4265</v>
      </c>
      <c r="AF867" s="83">
        <v>160000</v>
      </c>
    </row>
    <row r="868" spans="1:32">
      <c r="A868" s="106">
        <v>8369</v>
      </c>
      <c r="B868" s="83" t="s">
        <v>4211</v>
      </c>
      <c r="E868" s="106" t="s">
        <v>4266</v>
      </c>
      <c r="AF868" s="83">
        <v>100000</v>
      </c>
    </row>
    <row r="869" spans="1:32">
      <c r="A869" s="106"/>
      <c r="B869" s="83" t="s">
        <v>4211</v>
      </c>
      <c r="E869" s="106" t="s">
        <v>4267</v>
      </c>
      <c r="AF869" s="83">
        <v>235000</v>
      </c>
    </row>
    <row r="870" spans="1:32">
      <c r="A870" s="106"/>
      <c r="B870" s="83" t="s">
        <v>4211</v>
      </c>
      <c r="E870" s="106" t="s">
        <v>4268</v>
      </c>
      <c r="AF870" s="83">
        <v>69466</v>
      </c>
    </row>
    <row r="871" spans="1:32">
      <c r="A871" s="106"/>
      <c r="B871" s="83" t="s">
        <v>4211</v>
      </c>
      <c r="E871" s="106" t="s">
        <v>4269</v>
      </c>
      <c r="AF871" s="83">
        <v>19471.599999999999</v>
      </c>
    </row>
    <row r="872" spans="1:32">
      <c r="A872" s="106"/>
      <c r="B872" s="83" t="s">
        <v>4211</v>
      </c>
      <c r="E872" s="106" t="s">
        <v>4191</v>
      </c>
      <c r="AF872" s="83">
        <v>103797.87</v>
      </c>
    </row>
    <row r="873" spans="1:32">
      <c r="A873" s="106"/>
      <c r="B873" s="83" t="s">
        <v>4211</v>
      </c>
      <c r="E873" s="106" t="s">
        <v>4270</v>
      </c>
      <c r="AF873" s="83">
        <v>68567</v>
      </c>
    </row>
    <row r="874" spans="1:32">
      <c r="A874" s="106"/>
      <c r="B874" s="83" t="s">
        <v>4211</v>
      </c>
      <c r="E874" s="106" t="s">
        <v>4271</v>
      </c>
      <c r="AF874" s="83">
        <v>26500.2</v>
      </c>
    </row>
    <row r="875" spans="1:32">
      <c r="A875" s="106"/>
      <c r="B875" s="83" t="s">
        <v>4211</v>
      </c>
      <c r="E875" s="106" t="s">
        <v>4272</v>
      </c>
      <c r="AF875" s="83">
        <v>50000</v>
      </c>
    </row>
    <row r="876" spans="1:32">
      <c r="A876" s="106"/>
      <c r="B876" s="83" t="s">
        <v>4211</v>
      </c>
      <c r="E876" s="106" t="s">
        <v>4273</v>
      </c>
      <c r="AF876" s="83">
        <v>173890</v>
      </c>
    </row>
    <row r="877" spans="1:32">
      <c r="A877" s="106">
        <v>10067</v>
      </c>
      <c r="B877" s="83" t="s">
        <v>4211</v>
      </c>
      <c r="E877" s="106" t="s">
        <v>4274</v>
      </c>
      <c r="AF877" s="83">
        <v>63873.31</v>
      </c>
    </row>
    <row r="878" spans="1:32">
      <c r="A878" s="106"/>
      <c r="B878" s="83" t="s">
        <v>4211</v>
      </c>
      <c r="E878" s="106" t="s">
        <v>4198</v>
      </c>
      <c r="AF878" s="83">
        <v>18000</v>
      </c>
    </row>
    <row r="879" spans="1:32">
      <c r="A879" s="106"/>
      <c r="B879" s="83" t="s">
        <v>4211</v>
      </c>
      <c r="E879" s="106" t="s">
        <v>4275</v>
      </c>
      <c r="AF879" s="83">
        <v>16045</v>
      </c>
    </row>
    <row r="880" spans="1:32">
      <c r="A880" s="106"/>
      <c r="B880" s="83" t="s">
        <v>4211</v>
      </c>
      <c r="E880" s="106" t="s">
        <v>4276</v>
      </c>
      <c r="AF880" s="83">
        <v>25800</v>
      </c>
    </row>
    <row r="881" spans="1:86">
      <c r="A881" s="106"/>
      <c r="B881" s="83" t="s">
        <v>4211</v>
      </c>
      <c r="E881" s="106" t="s">
        <v>4277</v>
      </c>
      <c r="AF881" s="83">
        <v>43333.34</v>
      </c>
    </row>
    <row r="882" spans="1:86">
      <c r="A882" s="106"/>
      <c r="B882" s="83" t="s">
        <v>4211</v>
      </c>
      <c r="E882" s="106" t="s">
        <v>4278</v>
      </c>
      <c r="AF882" s="83">
        <v>15846</v>
      </c>
    </row>
    <row r="883" spans="1:86">
      <c r="A883" s="106"/>
      <c r="B883" s="83" t="s">
        <v>4211</v>
      </c>
      <c r="E883" s="106" t="s">
        <v>4279</v>
      </c>
      <c r="AF883" s="83">
        <v>1100000</v>
      </c>
    </row>
    <row r="884" spans="1:86">
      <c r="A884" s="106"/>
      <c r="B884" s="83" t="s">
        <v>4211</v>
      </c>
      <c r="E884" s="106" t="s">
        <v>4280</v>
      </c>
      <c r="AF884" s="83">
        <v>650000</v>
      </c>
    </row>
    <row r="885" spans="1:86">
      <c r="A885" s="106"/>
      <c r="B885" s="83" t="s">
        <v>4211</v>
      </c>
      <c r="E885" s="106" t="s">
        <v>4281</v>
      </c>
      <c r="AF885" s="83">
        <v>495000</v>
      </c>
    </row>
    <row r="886" spans="1:86">
      <c r="A886" s="106"/>
      <c r="B886" s="83" t="s">
        <v>4211</v>
      </c>
      <c r="E886" s="106" t="s">
        <v>4204</v>
      </c>
      <c r="AF886" s="83">
        <v>125000</v>
      </c>
    </row>
    <row r="887" spans="1:86">
      <c r="A887">
        <v>10160</v>
      </c>
      <c r="B887" s="83" t="s">
        <v>4282</v>
      </c>
      <c r="E887" t="s">
        <v>4284</v>
      </c>
      <c r="F887" s="83">
        <v>9810</v>
      </c>
      <c r="G887" s="3" t="s">
        <v>4283</v>
      </c>
      <c r="H887" s="83" t="s">
        <v>1201</v>
      </c>
      <c r="I887" s="83" t="s">
        <v>1202</v>
      </c>
      <c r="J887" s="83" t="s">
        <v>1203</v>
      </c>
      <c r="K887" s="83" t="s">
        <v>565</v>
      </c>
      <c r="N887" s="83">
        <v>32226</v>
      </c>
      <c r="S887" s="83">
        <v>2004</v>
      </c>
      <c r="AD887" s="129">
        <v>6218812</v>
      </c>
      <c r="AF887" s="102"/>
      <c r="AK887" s="83">
        <v>1</v>
      </c>
      <c r="AL887" s="83">
        <v>65000</v>
      </c>
      <c r="CD887" s="83" t="s">
        <v>4254</v>
      </c>
      <c r="CH887" s="83">
        <v>3</v>
      </c>
    </row>
    <row r="888" spans="1:86">
      <c r="B888" s="83" t="s">
        <v>4282</v>
      </c>
      <c r="E888" s="127" t="s">
        <v>4279</v>
      </c>
      <c r="F888" s="83">
        <v>9810</v>
      </c>
      <c r="G888" s="3" t="s">
        <v>4283</v>
      </c>
      <c r="H888" s="83" t="s">
        <v>1201</v>
      </c>
      <c r="I888" s="83" t="s">
        <v>1202</v>
      </c>
      <c r="J888" s="83" t="s">
        <v>1203</v>
      </c>
      <c r="K888" s="83" t="s">
        <v>565</v>
      </c>
      <c r="N888" s="83">
        <v>32226</v>
      </c>
      <c r="AF888" s="128">
        <v>521000</v>
      </c>
    </row>
    <row r="889" spans="1:86">
      <c r="B889" s="83" t="s">
        <v>4282</v>
      </c>
      <c r="E889" s="127" t="s">
        <v>4285</v>
      </c>
      <c r="F889" s="83">
        <v>9810</v>
      </c>
      <c r="G889" s="3" t="s">
        <v>4283</v>
      </c>
      <c r="H889" s="83" t="s">
        <v>1201</v>
      </c>
      <c r="I889" s="83" t="s">
        <v>1202</v>
      </c>
      <c r="J889" s="83" t="s">
        <v>1203</v>
      </c>
      <c r="K889" s="83" t="s">
        <v>565</v>
      </c>
      <c r="N889" s="83">
        <v>32226</v>
      </c>
      <c r="AF889" s="128">
        <v>100000</v>
      </c>
    </row>
    <row r="890" spans="1:86">
      <c r="B890" s="83" t="s">
        <v>4282</v>
      </c>
      <c r="E890" s="127" t="s">
        <v>4286</v>
      </c>
      <c r="F890" s="83">
        <v>9810</v>
      </c>
      <c r="G890" s="3" t="s">
        <v>4283</v>
      </c>
      <c r="H890" s="83" t="s">
        <v>1201</v>
      </c>
      <c r="I890" s="83" t="s">
        <v>1202</v>
      </c>
      <c r="J890" s="83" t="s">
        <v>1203</v>
      </c>
      <c r="K890" s="83" t="s">
        <v>565</v>
      </c>
      <c r="N890" s="83">
        <v>32226</v>
      </c>
      <c r="AF890" s="128">
        <f>5000*33</f>
        <v>165000</v>
      </c>
    </row>
    <row r="891" spans="1:86">
      <c r="B891" s="83" t="s">
        <v>4282</v>
      </c>
      <c r="E891" s="127" t="s">
        <v>4204</v>
      </c>
      <c r="F891" s="83">
        <v>9810</v>
      </c>
      <c r="G891" s="3" t="s">
        <v>4283</v>
      </c>
      <c r="H891" s="83" t="s">
        <v>1201</v>
      </c>
      <c r="I891" s="83" t="s">
        <v>1202</v>
      </c>
      <c r="J891" s="83" t="s">
        <v>1203</v>
      </c>
      <c r="K891" s="83" t="s">
        <v>565</v>
      </c>
      <c r="N891" s="83">
        <v>32226</v>
      </c>
      <c r="AF891" s="128">
        <v>10000</v>
      </c>
    </row>
    <row r="892" spans="1:86">
      <c r="B892" s="83" t="s">
        <v>4287</v>
      </c>
      <c r="E892" s="130" t="s">
        <v>4288</v>
      </c>
      <c r="F892" s="83">
        <v>9530</v>
      </c>
      <c r="G892" s="130" t="s">
        <v>4289</v>
      </c>
      <c r="H892" s="83" t="s">
        <v>1201</v>
      </c>
      <c r="I892" s="83" t="s">
        <v>1202</v>
      </c>
      <c r="J892" s="83" t="s">
        <v>1203</v>
      </c>
      <c r="K892" s="83" t="s">
        <v>565</v>
      </c>
      <c r="N892" s="83">
        <v>32226</v>
      </c>
      <c r="S892" s="83">
        <v>2008</v>
      </c>
      <c r="AD892" s="131">
        <v>992000</v>
      </c>
      <c r="AL892" s="83">
        <v>1</v>
      </c>
      <c r="AM892" s="83">
        <v>6200</v>
      </c>
      <c r="CD892" s="83" t="s">
        <v>4255</v>
      </c>
      <c r="CH892" s="83">
        <v>3</v>
      </c>
    </row>
    <row r="893" spans="1:86" ht="27">
      <c r="B893" s="83" t="s">
        <v>4287</v>
      </c>
      <c r="E893" s="132" t="s">
        <v>4290</v>
      </c>
      <c r="F893" s="83">
        <v>9530</v>
      </c>
      <c r="G893" s="130" t="s">
        <v>4289</v>
      </c>
      <c r="H893" s="83" t="s">
        <v>1201</v>
      </c>
      <c r="I893" s="83" t="s">
        <v>1202</v>
      </c>
      <c r="J893" s="83" t="s">
        <v>1203</v>
      </c>
      <c r="K893" s="83" t="s">
        <v>565</v>
      </c>
      <c r="N893" s="83">
        <v>32226</v>
      </c>
      <c r="AF893" s="83">
        <v>250000</v>
      </c>
    </row>
    <row r="894" spans="1:86">
      <c r="B894" s="83" t="s">
        <v>4287</v>
      </c>
      <c r="E894" s="133" t="s">
        <v>4278</v>
      </c>
      <c r="F894" s="83">
        <v>9530</v>
      </c>
      <c r="G894" s="130" t="s">
        <v>4289</v>
      </c>
      <c r="H894" s="83" t="s">
        <v>1201</v>
      </c>
      <c r="I894" s="83" t="s">
        <v>1202</v>
      </c>
      <c r="J894" s="83" t="s">
        <v>1203</v>
      </c>
      <c r="K894" s="83" t="s">
        <v>565</v>
      </c>
      <c r="N894" s="83">
        <v>32226</v>
      </c>
      <c r="AF894" s="83">
        <v>100000</v>
      </c>
    </row>
    <row r="895" spans="1:86">
      <c r="B895" s="83" t="s">
        <v>4287</v>
      </c>
      <c r="E895" s="134" t="s">
        <v>4291</v>
      </c>
      <c r="F895" s="83">
        <v>9530</v>
      </c>
      <c r="G895" s="130" t="s">
        <v>4289</v>
      </c>
      <c r="H895" s="83" t="s">
        <v>1201</v>
      </c>
      <c r="I895" s="83" t="s">
        <v>1202</v>
      </c>
      <c r="J895" s="83" t="s">
        <v>1203</v>
      </c>
      <c r="K895" s="83" t="s">
        <v>565</v>
      </c>
      <c r="N895" s="83">
        <v>32226</v>
      </c>
      <c r="AF895" s="83">
        <v>50000</v>
      </c>
    </row>
    <row r="896" spans="1:86">
      <c r="B896" s="83" t="s">
        <v>4287</v>
      </c>
      <c r="E896" s="134" t="s">
        <v>4292</v>
      </c>
      <c r="F896" s="83">
        <v>9530</v>
      </c>
      <c r="G896" s="130" t="s">
        <v>4289</v>
      </c>
      <c r="H896" s="83" t="s">
        <v>1201</v>
      </c>
      <c r="I896" s="83" t="s">
        <v>1202</v>
      </c>
      <c r="J896" s="83" t="s">
        <v>1203</v>
      </c>
      <c r="K896" s="83" t="s">
        <v>565</v>
      </c>
      <c r="N896" s="83">
        <v>32226</v>
      </c>
      <c r="AF896" s="83">
        <v>50000</v>
      </c>
    </row>
    <row r="897" spans="2:89">
      <c r="B897" s="83" t="s">
        <v>4287</v>
      </c>
      <c r="E897" s="134" t="s">
        <v>4204</v>
      </c>
      <c r="F897" s="83">
        <v>9530</v>
      </c>
      <c r="G897" s="130" t="s">
        <v>4289</v>
      </c>
      <c r="H897" s="83" t="s">
        <v>1201</v>
      </c>
      <c r="I897" s="83" t="s">
        <v>1202</v>
      </c>
      <c r="J897" s="83" t="s">
        <v>1203</v>
      </c>
      <c r="K897" s="83" t="s">
        <v>565</v>
      </c>
      <c r="N897" s="83">
        <v>32226</v>
      </c>
      <c r="AF897" s="83">
        <v>2500</v>
      </c>
    </row>
    <row r="898" spans="2:89">
      <c r="B898" s="83" t="s">
        <v>4287</v>
      </c>
      <c r="E898" s="135" t="s">
        <v>4296</v>
      </c>
      <c r="F898" s="83">
        <v>9530</v>
      </c>
      <c r="G898" s="130" t="s">
        <v>4289</v>
      </c>
      <c r="H898" s="83" t="s">
        <v>1201</v>
      </c>
      <c r="I898" s="83" t="s">
        <v>1202</v>
      </c>
      <c r="J898" s="83" t="s">
        <v>1203</v>
      </c>
      <c r="K898" s="83" t="s">
        <v>565</v>
      </c>
      <c r="N898" s="83">
        <v>32226</v>
      </c>
      <c r="AF898" s="83">
        <v>440208.00999999989</v>
      </c>
    </row>
    <row r="899" spans="2:89">
      <c r="B899" s="83" t="s">
        <v>4287</v>
      </c>
      <c r="E899" s="135" t="s">
        <v>4293</v>
      </c>
      <c r="F899" s="83">
        <v>9530</v>
      </c>
      <c r="G899" s="130" t="s">
        <v>4289</v>
      </c>
      <c r="H899" s="83" t="s">
        <v>1201</v>
      </c>
      <c r="I899" s="83" t="s">
        <v>1202</v>
      </c>
      <c r="J899" s="83" t="s">
        <v>1203</v>
      </c>
      <c r="K899" s="83" t="s">
        <v>565</v>
      </c>
      <c r="N899" s="83">
        <v>32226</v>
      </c>
      <c r="AF899" s="83">
        <v>224360.1</v>
      </c>
    </row>
    <row r="900" spans="2:89">
      <c r="B900" s="83" t="s">
        <v>4287</v>
      </c>
      <c r="E900" s="135" t="s">
        <v>4294</v>
      </c>
      <c r="F900" s="83">
        <v>9530</v>
      </c>
      <c r="G900" s="130" t="s">
        <v>4289</v>
      </c>
      <c r="H900" s="83" t="s">
        <v>1201</v>
      </c>
      <c r="I900" s="83" t="s">
        <v>1202</v>
      </c>
      <c r="J900" s="83" t="s">
        <v>1203</v>
      </c>
      <c r="K900" s="83" t="s">
        <v>565</v>
      </c>
      <c r="N900" s="83">
        <v>32226</v>
      </c>
      <c r="AF900" s="83">
        <v>1063396.1499999999</v>
      </c>
    </row>
    <row r="901" spans="2:89">
      <c r="B901" s="83" t="s">
        <v>4287</v>
      </c>
      <c r="E901" s="135" t="s">
        <v>4295</v>
      </c>
      <c r="F901" s="83">
        <v>9530</v>
      </c>
      <c r="G901" s="130" t="s">
        <v>4289</v>
      </c>
      <c r="H901" s="83" t="s">
        <v>1201</v>
      </c>
      <c r="I901" s="83" t="s">
        <v>1202</v>
      </c>
      <c r="J901" s="83" t="s">
        <v>1203</v>
      </c>
      <c r="K901" s="83" t="s">
        <v>565</v>
      </c>
      <c r="N901" s="83">
        <v>32226</v>
      </c>
      <c r="AF901" s="83">
        <v>1485180.14</v>
      </c>
    </row>
    <row r="902" spans="2:89">
      <c r="B902" s="83" t="s">
        <v>4297</v>
      </c>
      <c r="AF902" s="83">
        <v>35000000</v>
      </c>
    </row>
    <row r="903" spans="2:89" s="103" customFormat="1">
      <c r="B903" s="103" t="s">
        <v>4298</v>
      </c>
      <c r="AD903" s="136">
        <f>SUM(AD759:AD902)</f>
        <v>82198966</v>
      </c>
      <c r="AE903" s="136">
        <f t="shared" ref="AE903:AF903" si="1">SUM(AE759:AE902)</f>
        <v>0</v>
      </c>
      <c r="AF903" s="136">
        <f t="shared" si="1"/>
        <v>178811952.56999996</v>
      </c>
      <c r="CK903" s="146"/>
    </row>
    <row r="905" spans="2:89" s="137" customFormat="1">
      <c r="B905" s="137" t="s">
        <v>4299</v>
      </c>
      <c r="AD905" s="138">
        <f>SUM(AD756+AD903)</f>
        <v>2419002966</v>
      </c>
      <c r="AE905" s="138">
        <f t="shared" ref="AE905:AF905" si="2">SUM(AE756+AE903)</f>
        <v>0</v>
      </c>
      <c r="AF905" s="138">
        <f t="shared" si="2"/>
        <v>359372952.56999993</v>
      </c>
      <c r="CK905" s="147"/>
    </row>
    <row r="907" spans="2:89" ht="15.75" thickBot="1">
      <c r="B907" s="140" t="s">
        <v>4308</v>
      </c>
      <c r="C907" s="140"/>
      <c r="AF907" s="155">
        <f>SUM(AD905:AF905)</f>
        <v>2778375918.5699997</v>
      </c>
      <c r="AG907" s="140"/>
      <c r="AH907" s="140"/>
      <c r="AI907" s="140"/>
      <c r="AJ907" s="140" t="s">
        <v>4941</v>
      </c>
    </row>
    <row r="908" spans="2:89" ht="15.75" thickTop="1">
      <c r="B908" s="83" t="s">
        <v>4933</v>
      </c>
    </row>
    <row r="909" spans="2:89">
      <c r="B909" s="83" t="s">
        <v>4934</v>
      </c>
    </row>
    <row r="910" spans="2:89">
      <c r="B910" s="83" t="s">
        <v>4935</v>
      </c>
    </row>
    <row r="911" spans="2:89">
      <c r="B911" s="83" t="s">
        <v>112</v>
      </c>
    </row>
    <row r="913" spans="1:91">
      <c r="B913" s="166" t="s">
        <v>4942</v>
      </c>
      <c r="C913" s="166"/>
    </row>
    <row r="914" spans="1:91">
      <c r="A914" s="83" t="s">
        <v>4990</v>
      </c>
      <c r="B914" s="83" t="s">
        <v>4944</v>
      </c>
      <c r="D914" s="83" t="s">
        <v>688</v>
      </c>
      <c r="E914" s="83" t="s">
        <v>4946</v>
      </c>
      <c r="F914" s="83" t="s">
        <v>2831</v>
      </c>
      <c r="G914" s="83" t="s">
        <v>1903</v>
      </c>
      <c r="H914" s="83" t="s">
        <v>1201</v>
      </c>
      <c r="I914" s="83" t="s">
        <v>1202</v>
      </c>
      <c r="J914" s="83" t="s">
        <v>1203</v>
      </c>
      <c r="K914" s="83" t="s">
        <v>565</v>
      </c>
      <c r="L914" s="83" t="s">
        <v>398</v>
      </c>
      <c r="M914" s="83" t="s">
        <v>399</v>
      </c>
      <c r="N914" s="83" t="s">
        <v>2750</v>
      </c>
      <c r="AD914" s="83">
        <v>561600</v>
      </c>
      <c r="CF914" s="83" t="s">
        <v>2115</v>
      </c>
      <c r="CG914" s="83" t="s">
        <v>2116</v>
      </c>
      <c r="CL914" s="99"/>
      <c r="CM914" s="83" t="s">
        <v>4943</v>
      </c>
    </row>
    <row r="915" spans="1:91">
      <c r="A915" s="83" t="s">
        <v>4945</v>
      </c>
      <c r="B915" s="83" t="s">
        <v>4948</v>
      </c>
      <c r="D915" s="83">
        <v>1</v>
      </c>
      <c r="E915" s="83" t="s">
        <v>4947</v>
      </c>
      <c r="F915" s="83">
        <v>3659</v>
      </c>
      <c r="G915" s="83" t="s">
        <v>3860</v>
      </c>
      <c r="H915" s="83" t="s">
        <v>1201</v>
      </c>
      <c r="I915" s="83" t="s">
        <v>1202</v>
      </c>
      <c r="J915" s="83" t="s">
        <v>1203</v>
      </c>
      <c r="K915" s="83" t="s">
        <v>565</v>
      </c>
      <c r="L915" s="83" t="s">
        <v>398</v>
      </c>
      <c r="M915" s="83" t="s">
        <v>399</v>
      </c>
      <c r="N915" s="83">
        <v>32226</v>
      </c>
      <c r="S915" s="83">
        <v>2013</v>
      </c>
      <c r="T915" s="83">
        <v>2013</v>
      </c>
      <c r="AD915" s="83">
        <v>243319</v>
      </c>
      <c r="AJ915" s="83">
        <v>1</v>
      </c>
      <c r="AK915" s="83">
        <v>1</v>
      </c>
      <c r="BK915" s="83" t="s">
        <v>4951</v>
      </c>
      <c r="BL915" s="83" t="s">
        <v>4950</v>
      </c>
      <c r="CD915" s="83" t="s">
        <v>4949</v>
      </c>
    </row>
    <row r="916" spans="1:91" s="159" customFormat="1">
      <c r="A916" s="83" t="s">
        <v>4952</v>
      </c>
      <c r="B916" s="159" t="s">
        <v>4988</v>
      </c>
      <c r="D916" s="159" t="s">
        <v>688</v>
      </c>
      <c r="E916" s="159" t="s">
        <v>4953</v>
      </c>
      <c r="F916" s="159" t="s">
        <v>3707</v>
      </c>
      <c r="G916" s="159" t="s">
        <v>2460</v>
      </c>
      <c r="H916" s="159" t="s">
        <v>1201</v>
      </c>
      <c r="I916" s="83" t="s">
        <v>1202</v>
      </c>
      <c r="J916" s="83" t="s">
        <v>1203</v>
      </c>
      <c r="K916" s="83" t="s">
        <v>565</v>
      </c>
      <c r="L916" s="83" t="s">
        <v>398</v>
      </c>
      <c r="M916" s="83" t="s">
        <v>399</v>
      </c>
      <c r="N916" s="83" t="s">
        <v>2709</v>
      </c>
      <c r="O916" s="83" t="s">
        <v>106</v>
      </c>
      <c r="P916" s="171"/>
      <c r="Q916" s="83" t="s">
        <v>106</v>
      </c>
      <c r="S916" s="159" t="s">
        <v>2714</v>
      </c>
      <c r="T916" s="83" t="s">
        <v>2703</v>
      </c>
      <c r="U916" s="83" t="s">
        <v>401</v>
      </c>
      <c r="V916" s="160"/>
      <c r="W916" s="160"/>
      <c r="X916" s="160"/>
      <c r="Y916" s="160"/>
      <c r="Z916" s="160"/>
      <c r="AA916" s="160"/>
      <c r="AB916" s="160"/>
      <c r="AC916" s="83" t="s">
        <v>401</v>
      </c>
      <c r="AD916" s="159" t="s">
        <v>4959</v>
      </c>
      <c r="AF916" s="159" t="s">
        <v>2696</v>
      </c>
      <c r="CF916" s="169" t="s">
        <v>4960</v>
      </c>
      <c r="CG916" s="169" t="s">
        <v>4961</v>
      </c>
      <c r="CK916" s="159" t="s">
        <v>2696</v>
      </c>
      <c r="CL916" s="172">
        <v>125629</v>
      </c>
    </row>
    <row r="917" spans="1:91" s="159" customFormat="1">
      <c r="A917" s="83" t="s">
        <v>4952</v>
      </c>
      <c r="B917" s="159" t="s">
        <v>4988</v>
      </c>
      <c r="D917" s="159" t="s">
        <v>673</v>
      </c>
      <c r="E917" s="159" t="s">
        <v>4954</v>
      </c>
      <c r="F917" s="159" t="s">
        <v>3707</v>
      </c>
      <c r="G917" s="159" t="s">
        <v>2460</v>
      </c>
      <c r="H917" s="159" t="s">
        <v>1201</v>
      </c>
      <c r="I917" s="83" t="s">
        <v>1202</v>
      </c>
      <c r="J917" s="83" t="s">
        <v>1203</v>
      </c>
      <c r="K917" s="83" t="s">
        <v>565</v>
      </c>
      <c r="L917" s="83" t="s">
        <v>398</v>
      </c>
      <c r="M917" s="83" t="s">
        <v>399</v>
      </c>
      <c r="N917" s="83" t="s">
        <v>2709</v>
      </c>
      <c r="O917" s="83" t="s">
        <v>106</v>
      </c>
      <c r="P917" s="171"/>
      <c r="Q917" s="83" t="s">
        <v>106</v>
      </c>
      <c r="S917" s="159" t="s">
        <v>2714</v>
      </c>
      <c r="T917" s="83" t="s">
        <v>2703</v>
      </c>
      <c r="U917" s="83" t="s">
        <v>401</v>
      </c>
      <c r="V917" s="160"/>
      <c r="W917" s="160"/>
      <c r="X917" s="160"/>
      <c r="Y917" s="160"/>
      <c r="Z917" s="160"/>
      <c r="AA917" s="160"/>
      <c r="AB917" s="160"/>
      <c r="AC917" s="83" t="s">
        <v>401</v>
      </c>
      <c r="AD917" s="159" t="s">
        <v>4959</v>
      </c>
      <c r="AF917" s="159" t="s">
        <v>2696</v>
      </c>
      <c r="CF917" s="169" t="s">
        <v>4962</v>
      </c>
      <c r="CG917" s="169" t="s">
        <v>4963</v>
      </c>
      <c r="CK917" s="159" t="s">
        <v>2696</v>
      </c>
    </row>
    <row r="918" spans="1:91" s="159" customFormat="1">
      <c r="A918" s="83" t="s">
        <v>4952</v>
      </c>
      <c r="B918" s="159" t="s">
        <v>4988</v>
      </c>
      <c r="D918" s="159" t="s">
        <v>714</v>
      </c>
      <c r="E918" s="159" t="s">
        <v>711</v>
      </c>
      <c r="F918" s="159" t="s">
        <v>3707</v>
      </c>
      <c r="G918" s="159" t="s">
        <v>2460</v>
      </c>
      <c r="H918" s="159" t="s">
        <v>1201</v>
      </c>
      <c r="I918" s="83" t="s">
        <v>1202</v>
      </c>
      <c r="J918" s="83" t="s">
        <v>1203</v>
      </c>
      <c r="K918" s="83" t="s">
        <v>565</v>
      </c>
      <c r="L918" s="83" t="s">
        <v>398</v>
      </c>
      <c r="M918" s="83" t="s">
        <v>399</v>
      </c>
      <c r="N918" s="83" t="s">
        <v>2709</v>
      </c>
      <c r="O918" s="83" t="s">
        <v>106</v>
      </c>
      <c r="P918" s="171" t="s">
        <v>2699</v>
      </c>
      <c r="Q918" s="83" t="s">
        <v>106</v>
      </c>
      <c r="R918" s="159" t="s">
        <v>2727</v>
      </c>
      <c r="S918" s="159" t="s">
        <v>2714</v>
      </c>
      <c r="T918" s="83" t="s">
        <v>2703</v>
      </c>
      <c r="U918" s="83" t="s">
        <v>401</v>
      </c>
      <c r="V918" s="160"/>
      <c r="W918" s="160"/>
      <c r="X918" s="160"/>
      <c r="Y918" s="160"/>
      <c r="Z918" s="160"/>
      <c r="AA918" s="160"/>
      <c r="AB918" s="160"/>
      <c r="AC918" s="83" t="s">
        <v>401</v>
      </c>
      <c r="AD918" s="159" t="s">
        <v>1569</v>
      </c>
      <c r="AF918" s="159" t="s">
        <v>1295</v>
      </c>
      <c r="AJ918" s="159" t="s">
        <v>2699</v>
      </c>
      <c r="AK918" s="159" t="s">
        <v>2699</v>
      </c>
      <c r="AL918" s="159" t="s">
        <v>4964</v>
      </c>
      <c r="AM918" s="159" t="s">
        <v>2693</v>
      </c>
      <c r="BK918" s="159" t="s">
        <v>2694</v>
      </c>
      <c r="BL918" s="159" t="s">
        <v>2699</v>
      </c>
      <c r="BM918" s="159" t="s">
        <v>2698</v>
      </c>
      <c r="BN918" s="159" t="s">
        <v>2696</v>
      </c>
      <c r="BO918" s="159" t="s">
        <v>2697</v>
      </c>
      <c r="BP918" s="159" t="s">
        <v>2698</v>
      </c>
      <c r="BQ918" s="159" t="s">
        <v>2696</v>
      </c>
      <c r="BR918" s="159" t="s">
        <v>2693</v>
      </c>
      <c r="BS918" s="159" t="s">
        <v>2699</v>
      </c>
      <c r="BT918" s="159" t="s">
        <v>2696</v>
      </c>
      <c r="BU918" s="159" t="s">
        <v>2699</v>
      </c>
      <c r="BV918" s="159" t="s">
        <v>2696</v>
      </c>
      <c r="BW918" s="159" t="s">
        <v>2693</v>
      </c>
      <c r="BX918" s="159" t="s">
        <v>2696</v>
      </c>
      <c r="BY918" s="159" t="s">
        <v>2693</v>
      </c>
      <c r="BZ918" s="159" t="s">
        <v>2699</v>
      </c>
      <c r="CA918" s="159" t="s">
        <v>2693</v>
      </c>
      <c r="CB918" s="159" t="s">
        <v>2694</v>
      </c>
      <c r="CC918" s="159" t="s">
        <v>2693</v>
      </c>
      <c r="CD918" s="159" t="s">
        <v>2696</v>
      </c>
      <c r="CF918" s="170" t="s">
        <v>4147</v>
      </c>
      <c r="CG918" s="170" t="s">
        <v>4965</v>
      </c>
      <c r="CH918" s="159" t="s">
        <v>2699</v>
      </c>
      <c r="CI918" s="159" t="s">
        <v>2699</v>
      </c>
      <c r="CJ918" s="159" t="s">
        <v>2734</v>
      </c>
      <c r="CK918" s="159" t="s">
        <v>2696</v>
      </c>
    </row>
    <row r="919" spans="1:91" s="159" customFormat="1">
      <c r="A919" s="83" t="s">
        <v>4952</v>
      </c>
      <c r="B919" s="159" t="s">
        <v>4988</v>
      </c>
      <c r="D919" s="159" t="s">
        <v>716</v>
      </c>
      <c r="E919" s="159" t="s">
        <v>4955</v>
      </c>
      <c r="F919" s="159" t="s">
        <v>3707</v>
      </c>
      <c r="G919" s="159" t="s">
        <v>2460</v>
      </c>
      <c r="H919" s="159" t="s">
        <v>1201</v>
      </c>
      <c r="I919" s="83" t="s">
        <v>1202</v>
      </c>
      <c r="J919" s="83" t="s">
        <v>1203</v>
      </c>
      <c r="K919" s="83" t="s">
        <v>565</v>
      </c>
      <c r="L919" s="83" t="s">
        <v>398</v>
      </c>
      <c r="M919" s="83" t="s">
        <v>399</v>
      </c>
      <c r="N919" s="83" t="s">
        <v>2709</v>
      </c>
      <c r="O919" s="83" t="s">
        <v>106</v>
      </c>
      <c r="P919" s="171" t="s">
        <v>2697</v>
      </c>
      <c r="Q919" s="83" t="s">
        <v>106</v>
      </c>
      <c r="R919" s="159" t="s">
        <v>2727</v>
      </c>
      <c r="S919" s="159" t="s">
        <v>1463</v>
      </c>
      <c r="T919" s="83" t="s">
        <v>2703</v>
      </c>
      <c r="U919" s="83" t="s">
        <v>401</v>
      </c>
      <c r="V919" s="160"/>
      <c r="W919" s="160"/>
      <c r="X919" s="160"/>
      <c r="Y919" s="160"/>
      <c r="Z919" s="160"/>
      <c r="AA919" s="160"/>
      <c r="AB919" s="160"/>
      <c r="AC919" s="83" t="s">
        <v>401</v>
      </c>
      <c r="AD919" s="159" t="s">
        <v>4966</v>
      </c>
      <c r="AF919" s="159" t="s">
        <v>1295</v>
      </c>
      <c r="AJ919" s="159" t="s">
        <v>2699</v>
      </c>
      <c r="AK919" s="159" t="s">
        <v>2699</v>
      </c>
      <c r="AL919" s="159" t="s">
        <v>4967</v>
      </c>
      <c r="AM919" s="159" t="s">
        <v>2693</v>
      </c>
      <c r="BK919" s="159" t="s">
        <v>2694</v>
      </c>
      <c r="BL919" s="159" t="s">
        <v>2699</v>
      </c>
      <c r="BM919" s="159" t="s">
        <v>2693</v>
      </c>
      <c r="BN919" s="159" t="s">
        <v>2698</v>
      </c>
      <c r="BO919" s="159" t="s">
        <v>2697</v>
      </c>
      <c r="BP919" s="159" t="s">
        <v>2695</v>
      </c>
      <c r="BQ919" s="159" t="s">
        <v>2696</v>
      </c>
      <c r="BR919" s="159" t="s">
        <v>2693</v>
      </c>
      <c r="BS919" s="159" t="s">
        <v>2699</v>
      </c>
      <c r="BT919" s="159" t="s">
        <v>2696</v>
      </c>
      <c r="BU919" s="159" t="s">
        <v>2699</v>
      </c>
      <c r="BV919" s="159" t="s">
        <v>2696</v>
      </c>
      <c r="BW919" s="159" t="s">
        <v>2693</v>
      </c>
      <c r="BX919" s="159" t="s">
        <v>2696</v>
      </c>
      <c r="BY919" s="159" t="s">
        <v>2699</v>
      </c>
      <c r="BZ919" s="159" t="s">
        <v>2699</v>
      </c>
      <c r="CA919" s="159" t="s">
        <v>2693</v>
      </c>
      <c r="CB919" s="159" t="s">
        <v>2694</v>
      </c>
      <c r="CC919" s="159" t="s">
        <v>2693</v>
      </c>
      <c r="CD919" s="159" t="s">
        <v>2696</v>
      </c>
      <c r="CF919" s="170" t="s">
        <v>4968</v>
      </c>
      <c r="CG919" s="170" t="s">
        <v>4969</v>
      </c>
      <c r="CH919" s="159" t="s">
        <v>2697</v>
      </c>
      <c r="CI919" s="159" t="s">
        <v>2695</v>
      </c>
      <c r="CJ919" s="159" t="s">
        <v>2757</v>
      </c>
      <c r="CK919" s="159" t="s">
        <v>2696</v>
      </c>
    </row>
    <row r="920" spans="1:91" s="159" customFormat="1">
      <c r="A920" s="83" t="s">
        <v>4952</v>
      </c>
      <c r="B920" s="159" t="s">
        <v>4988</v>
      </c>
      <c r="D920" s="159" t="s">
        <v>717</v>
      </c>
      <c r="E920" s="159" t="s">
        <v>4956</v>
      </c>
      <c r="F920" s="159" t="s">
        <v>3707</v>
      </c>
      <c r="G920" s="159" t="s">
        <v>2460</v>
      </c>
      <c r="H920" s="159" t="s">
        <v>1201</v>
      </c>
      <c r="I920" s="83" t="s">
        <v>1202</v>
      </c>
      <c r="J920" s="83" t="s">
        <v>1203</v>
      </c>
      <c r="K920" s="83" t="s">
        <v>565</v>
      </c>
      <c r="L920" s="83" t="s">
        <v>398</v>
      </c>
      <c r="M920" s="83" t="s">
        <v>399</v>
      </c>
      <c r="N920" s="83" t="s">
        <v>2709</v>
      </c>
      <c r="O920" s="83" t="s">
        <v>106</v>
      </c>
      <c r="P920" s="171" t="s">
        <v>2699</v>
      </c>
      <c r="Q920" s="83" t="s">
        <v>106</v>
      </c>
      <c r="R920" s="159" t="s">
        <v>2727</v>
      </c>
      <c r="S920" s="159" t="s">
        <v>1456</v>
      </c>
      <c r="T920" s="83" t="s">
        <v>2703</v>
      </c>
      <c r="U920" s="83" t="s">
        <v>401</v>
      </c>
      <c r="V920" s="160"/>
      <c r="W920" s="160"/>
      <c r="X920" s="160"/>
      <c r="Y920" s="160"/>
      <c r="Z920" s="160"/>
      <c r="AA920" s="160"/>
      <c r="AB920" s="160"/>
      <c r="AC920" s="83" t="s">
        <v>401</v>
      </c>
      <c r="AD920" s="159" t="s">
        <v>4970</v>
      </c>
      <c r="AF920" s="159" t="s">
        <v>4971</v>
      </c>
      <c r="AJ920" s="159" t="s">
        <v>2699</v>
      </c>
      <c r="AK920" s="159" t="s">
        <v>2699</v>
      </c>
      <c r="AL920" s="159" t="s">
        <v>4972</v>
      </c>
      <c r="AM920" s="159" t="s">
        <v>2693</v>
      </c>
      <c r="BK920" s="159" t="s">
        <v>2694</v>
      </c>
      <c r="BL920" s="159" t="s">
        <v>2704</v>
      </c>
      <c r="BM920" s="159" t="s">
        <v>2698</v>
      </c>
      <c r="BN920" s="159" t="s">
        <v>2696</v>
      </c>
      <c r="BO920" s="159" t="s">
        <v>2697</v>
      </c>
      <c r="BP920" s="159" t="s">
        <v>2698</v>
      </c>
      <c r="BQ920" s="159" t="s">
        <v>2696</v>
      </c>
      <c r="BR920" s="159" t="s">
        <v>2693</v>
      </c>
      <c r="BS920" s="159" t="s">
        <v>2699</v>
      </c>
      <c r="BT920" s="159" t="s">
        <v>2696</v>
      </c>
      <c r="BU920" s="159" t="s">
        <v>2699</v>
      </c>
      <c r="BV920" s="159" t="s">
        <v>2696</v>
      </c>
      <c r="BW920" s="159" t="s">
        <v>2697</v>
      </c>
      <c r="BX920" s="159" t="s">
        <v>2696</v>
      </c>
      <c r="BY920" s="159" t="s">
        <v>2693</v>
      </c>
      <c r="BZ920" s="159" t="s">
        <v>2699</v>
      </c>
      <c r="CA920" s="159" t="s">
        <v>2693</v>
      </c>
      <c r="CB920" s="159" t="s">
        <v>2694</v>
      </c>
      <c r="CC920" s="159" t="s">
        <v>2693</v>
      </c>
      <c r="CD920" s="159" t="s">
        <v>2696</v>
      </c>
      <c r="CF920" s="170" t="s">
        <v>4973</v>
      </c>
      <c r="CG920" s="170" t="s">
        <v>4974</v>
      </c>
      <c r="CH920" s="159" t="s">
        <v>2699</v>
      </c>
      <c r="CI920" s="159" t="s">
        <v>2699</v>
      </c>
      <c r="CJ920" s="159" t="s">
        <v>2734</v>
      </c>
      <c r="CK920" s="159" t="s">
        <v>2696</v>
      </c>
    </row>
    <row r="921" spans="1:91" s="159" customFormat="1">
      <c r="A921" s="83" t="s">
        <v>4952</v>
      </c>
      <c r="B921" s="159" t="s">
        <v>4989</v>
      </c>
      <c r="D921" s="159" t="s">
        <v>688</v>
      </c>
      <c r="E921" s="159" t="s">
        <v>4957</v>
      </c>
      <c r="G921" s="159" t="s">
        <v>1192</v>
      </c>
      <c r="H921" s="159" t="s">
        <v>1201</v>
      </c>
      <c r="I921" s="83" t="s">
        <v>1202</v>
      </c>
      <c r="J921" s="83" t="s">
        <v>1203</v>
      </c>
      <c r="K921" s="83" t="s">
        <v>565</v>
      </c>
      <c r="L921" s="83" t="s">
        <v>398</v>
      </c>
      <c r="M921" s="83" t="s">
        <v>399</v>
      </c>
      <c r="N921" s="83" t="s">
        <v>2709</v>
      </c>
      <c r="O921" s="83" t="s">
        <v>106</v>
      </c>
      <c r="P921" s="171" t="s">
        <v>2699</v>
      </c>
      <c r="Q921" s="83" t="s">
        <v>106</v>
      </c>
      <c r="R921" s="159" t="s">
        <v>2691</v>
      </c>
      <c r="S921" s="159" t="s">
        <v>4976</v>
      </c>
      <c r="T921" s="83" t="s">
        <v>2703</v>
      </c>
      <c r="U921" s="83" t="s">
        <v>401</v>
      </c>
      <c r="V921" s="160"/>
      <c r="W921" s="160"/>
      <c r="X921" s="160"/>
      <c r="Y921" s="160"/>
      <c r="Z921" s="160"/>
      <c r="AA921" s="160"/>
      <c r="AB921" s="160"/>
      <c r="AC921" s="83" t="s">
        <v>401</v>
      </c>
      <c r="AD921" s="159" t="s">
        <v>4977</v>
      </c>
      <c r="AF921" s="159" t="s">
        <v>2696</v>
      </c>
      <c r="AJ921" s="159" t="s">
        <v>2699</v>
      </c>
      <c r="AK921" s="159" t="s">
        <v>2699</v>
      </c>
      <c r="AL921" s="159" t="s">
        <v>3131</v>
      </c>
      <c r="AM921" s="159" t="s">
        <v>2693</v>
      </c>
      <c r="BK921" s="159" t="s">
        <v>2694</v>
      </c>
      <c r="BL921" s="159" t="s">
        <v>2699</v>
      </c>
      <c r="BM921" s="159" t="s">
        <v>2697</v>
      </c>
      <c r="BN921" s="159" t="s">
        <v>2699</v>
      </c>
      <c r="BO921" s="159" t="s">
        <v>2699</v>
      </c>
      <c r="BP921" s="159" t="s">
        <v>2698</v>
      </c>
      <c r="BQ921" s="159" t="s">
        <v>2699</v>
      </c>
      <c r="BR921" s="159" t="s">
        <v>2693</v>
      </c>
      <c r="BS921" s="159" t="s">
        <v>2699</v>
      </c>
      <c r="BT921" s="159" t="s">
        <v>2696</v>
      </c>
      <c r="BU921" s="159" t="s">
        <v>2699</v>
      </c>
      <c r="BV921" s="159" t="s">
        <v>2696</v>
      </c>
      <c r="BW921" s="159" t="s">
        <v>2697</v>
      </c>
      <c r="BX921" s="159" t="s">
        <v>2693</v>
      </c>
      <c r="BY921" s="159" t="s">
        <v>2699</v>
      </c>
      <c r="BZ921" s="159" t="s">
        <v>2699</v>
      </c>
      <c r="CA921" s="159" t="s">
        <v>2693</v>
      </c>
      <c r="CB921" s="159" t="s">
        <v>2694</v>
      </c>
      <c r="CC921" s="159" t="s">
        <v>2693</v>
      </c>
      <c r="CD921" s="159" t="s">
        <v>2696</v>
      </c>
      <c r="CF921" s="170" t="s">
        <v>4978</v>
      </c>
      <c r="CG921" s="170" t="s">
        <v>4979</v>
      </c>
      <c r="CH921" s="159" t="s">
        <v>2699</v>
      </c>
      <c r="CI921" s="159" t="s">
        <v>2699</v>
      </c>
      <c r="CJ921" s="159" t="s">
        <v>2734</v>
      </c>
      <c r="CK921" s="159" t="s">
        <v>2696</v>
      </c>
      <c r="CL921" s="172">
        <v>87030</v>
      </c>
    </row>
    <row r="922" spans="1:91" s="159" customFormat="1">
      <c r="A922" s="83" t="s">
        <v>4952</v>
      </c>
      <c r="B922" s="159" t="s">
        <v>4989</v>
      </c>
      <c r="D922" s="159" t="s">
        <v>673</v>
      </c>
      <c r="E922" s="159" t="s">
        <v>2770</v>
      </c>
      <c r="G922" s="159" t="s">
        <v>1192</v>
      </c>
      <c r="H922" s="159" t="s">
        <v>1201</v>
      </c>
      <c r="I922" s="83" t="s">
        <v>1202</v>
      </c>
      <c r="J922" s="83" t="s">
        <v>1203</v>
      </c>
      <c r="K922" s="83" t="s">
        <v>565</v>
      </c>
      <c r="L922" s="83" t="s">
        <v>398</v>
      </c>
      <c r="M922" s="83" t="s">
        <v>399</v>
      </c>
      <c r="N922" s="83" t="s">
        <v>2709</v>
      </c>
      <c r="O922" s="83" t="s">
        <v>106</v>
      </c>
      <c r="P922" s="171" t="s">
        <v>2725</v>
      </c>
      <c r="Q922" s="83" t="s">
        <v>106</v>
      </c>
      <c r="R922" s="159" t="s">
        <v>2691</v>
      </c>
      <c r="S922" s="159" t="s">
        <v>2720</v>
      </c>
      <c r="T922" s="83" t="s">
        <v>2703</v>
      </c>
      <c r="U922" s="83" t="s">
        <v>401</v>
      </c>
      <c r="V922" s="160"/>
      <c r="W922" s="160"/>
      <c r="X922" s="160"/>
      <c r="Y922" s="160"/>
      <c r="Z922" s="160"/>
      <c r="AA922" s="160"/>
      <c r="AB922" s="160"/>
      <c r="AC922" s="83" t="s">
        <v>401</v>
      </c>
      <c r="AD922" s="159" t="s">
        <v>4980</v>
      </c>
      <c r="AF922" s="159" t="s">
        <v>1295</v>
      </c>
      <c r="AJ922" s="159" t="s">
        <v>2699</v>
      </c>
      <c r="AK922" s="159" t="s">
        <v>2699</v>
      </c>
      <c r="AL922" s="159" t="s">
        <v>4981</v>
      </c>
      <c r="AM922" s="159" t="s">
        <v>2693</v>
      </c>
      <c r="BK922" s="159" t="s">
        <v>2694</v>
      </c>
      <c r="BL922" s="159" t="s">
        <v>2695</v>
      </c>
      <c r="BM922" s="159" t="s">
        <v>2693</v>
      </c>
      <c r="BN922" s="159" t="s">
        <v>2698</v>
      </c>
      <c r="BO922" s="159" t="s">
        <v>2697</v>
      </c>
      <c r="BP922" s="159" t="s">
        <v>2693</v>
      </c>
      <c r="BQ922" s="159" t="s">
        <v>2696</v>
      </c>
      <c r="BR922" s="159" t="s">
        <v>2693</v>
      </c>
      <c r="BS922" s="159" t="s">
        <v>2699</v>
      </c>
      <c r="BT922" s="159" t="s">
        <v>2696</v>
      </c>
      <c r="BU922" s="159" t="s">
        <v>2699</v>
      </c>
      <c r="BV922" s="159" t="s">
        <v>2696</v>
      </c>
      <c r="BW922" s="159" t="s">
        <v>2698</v>
      </c>
      <c r="BX922" s="159" t="s">
        <v>2696</v>
      </c>
      <c r="BY922" s="159" t="s">
        <v>2699</v>
      </c>
      <c r="BZ922" s="159" t="s">
        <v>2699</v>
      </c>
      <c r="CA922" s="159" t="s">
        <v>2693</v>
      </c>
      <c r="CB922" s="159" t="s">
        <v>2694</v>
      </c>
      <c r="CC922" s="159" t="s">
        <v>2693</v>
      </c>
      <c r="CD922" s="159" t="s">
        <v>2696</v>
      </c>
      <c r="CF922" s="171" t="s">
        <v>4982</v>
      </c>
      <c r="CG922" s="171" t="s">
        <v>4983</v>
      </c>
      <c r="CH922" s="159" t="s">
        <v>2725</v>
      </c>
      <c r="CI922" s="159" t="s">
        <v>1358</v>
      </c>
      <c r="CJ922" s="159" t="s">
        <v>2726</v>
      </c>
      <c r="CK922" s="159" t="s">
        <v>2696</v>
      </c>
    </row>
    <row r="923" spans="1:91" s="159" customFormat="1">
      <c r="A923" s="83" t="s">
        <v>4952</v>
      </c>
      <c r="B923" s="159" t="s">
        <v>4989</v>
      </c>
      <c r="D923" s="159" t="s">
        <v>714</v>
      </c>
      <c r="E923" s="159" t="s">
        <v>711</v>
      </c>
      <c r="G923" s="159" t="s">
        <v>1192</v>
      </c>
      <c r="H923" s="159" t="s">
        <v>1201</v>
      </c>
      <c r="I923" s="83" t="s">
        <v>1202</v>
      </c>
      <c r="J923" s="83" t="s">
        <v>1203</v>
      </c>
      <c r="K923" s="83" t="s">
        <v>565</v>
      </c>
      <c r="L923" s="83" t="s">
        <v>398</v>
      </c>
      <c r="M923" s="83" t="s">
        <v>399</v>
      </c>
      <c r="N923" s="83" t="s">
        <v>2709</v>
      </c>
      <c r="O923" s="83" t="s">
        <v>106</v>
      </c>
      <c r="P923" s="171" t="s">
        <v>2697</v>
      </c>
      <c r="Q923" s="83" t="s">
        <v>106</v>
      </c>
      <c r="R923" s="159" t="s">
        <v>2727</v>
      </c>
      <c r="S923" s="159" t="s">
        <v>2720</v>
      </c>
      <c r="T923" s="83" t="s">
        <v>2703</v>
      </c>
      <c r="U923" s="83" t="s">
        <v>401</v>
      </c>
      <c r="V923" s="160"/>
      <c r="W923" s="160"/>
      <c r="X923" s="160"/>
      <c r="Y923" s="160"/>
      <c r="Z923" s="160"/>
      <c r="AA923" s="160"/>
      <c r="AB923" s="160"/>
      <c r="AC923" s="83" t="s">
        <v>401</v>
      </c>
      <c r="AD923" s="159" t="s">
        <v>4984</v>
      </c>
      <c r="AF923" s="159" t="s">
        <v>2696</v>
      </c>
      <c r="AJ923" s="159" t="s">
        <v>2699</v>
      </c>
      <c r="AK923" s="159" t="s">
        <v>2699</v>
      </c>
      <c r="AL923" s="159" t="s">
        <v>4985</v>
      </c>
      <c r="AM923" s="159" t="s">
        <v>2693</v>
      </c>
      <c r="BK923" s="159" t="s">
        <v>2699</v>
      </c>
      <c r="BL923" s="159" t="s">
        <v>2699</v>
      </c>
      <c r="BM923" s="159" t="s">
        <v>2693</v>
      </c>
      <c r="BN923" s="159" t="s">
        <v>2696</v>
      </c>
      <c r="BO923" s="159" t="s">
        <v>2695</v>
      </c>
      <c r="BP923" s="159" t="s">
        <v>2695</v>
      </c>
      <c r="BQ923" s="159" t="s">
        <v>2696</v>
      </c>
      <c r="BR923" s="159" t="s">
        <v>2693</v>
      </c>
      <c r="BS923" s="159" t="s">
        <v>2693</v>
      </c>
      <c r="BT923" s="159" t="s">
        <v>2696</v>
      </c>
      <c r="BU923" s="159" t="s">
        <v>2699</v>
      </c>
      <c r="BV923" s="159" t="s">
        <v>2696</v>
      </c>
      <c r="BW923" s="159" t="s">
        <v>2693</v>
      </c>
      <c r="BX923" s="159" t="s">
        <v>2696</v>
      </c>
      <c r="BY923" s="159" t="s">
        <v>2699</v>
      </c>
      <c r="BZ923" s="159" t="s">
        <v>2699</v>
      </c>
      <c r="CA923" s="159" t="s">
        <v>2699</v>
      </c>
      <c r="CB923" s="159" t="s">
        <v>2694</v>
      </c>
      <c r="CC923" s="159" t="s">
        <v>2693</v>
      </c>
      <c r="CD923" s="159" t="s">
        <v>2696</v>
      </c>
      <c r="CF923" s="170" t="s">
        <v>4986</v>
      </c>
      <c r="CG923" s="170" t="s">
        <v>4987</v>
      </c>
      <c r="CH923" s="159" t="s">
        <v>2697</v>
      </c>
      <c r="CI923" s="159" t="s">
        <v>2695</v>
      </c>
      <c r="CJ923" s="159" t="s">
        <v>2757</v>
      </c>
      <c r="CK923" s="159" t="s">
        <v>2696</v>
      </c>
    </row>
    <row r="924" spans="1:91">
      <c r="A924" s="83" t="s">
        <v>5014</v>
      </c>
      <c r="B924" s="83" t="s">
        <v>5015</v>
      </c>
      <c r="D924" s="83">
        <v>1</v>
      </c>
      <c r="E924" s="158" t="s">
        <v>5016</v>
      </c>
      <c r="F924" s="83" t="s">
        <v>5017</v>
      </c>
      <c r="G924" s="83" t="s">
        <v>1847</v>
      </c>
      <c r="H924" s="83" t="s">
        <v>1201</v>
      </c>
      <c r="I924" s="83" t="s">
        <v>1202</v>
      </c>
      <c r="J924" s="83" t="s">
        <v>1203</v>
      </c>
      <c r="K924" s="83" t="s">
        <v>565</v>
      </c>
      <c r="L924" s="83" t="s">
        <v>398</v>
      </c>
      <c r="M924" s="83" t="s">
        <v>399</v>
      </c>
      <c r="N924" s="83">
        <v>32208</v>
      </c>
      <c r="S924" s="83">
        <v>1959</v>
      </c>
      <c r="AF924" s="83">
        <v>3543432</v>
      </c>
      <c r="AJ924" s="83">
        <v>1</v>
      </c>
      <c r="AK924" s="83">
        <v>1</v>
      </c>
      <c r="BK924" s="83" t="s">
        <v>4951</v>
      </c>
      <c r="BL924" s="83" t="s">
        <v>5018</v>
      </c>
      <c r="CH924" s="83">
        <v>2</v>
      </c>
    </row>
    <row r="925" spans="1:91">
      <c r="A925" s="83" t="s">
        <v>5021</v>
      </c>
      <c r="B925" s="83" t="s">
        <v>5019</v>
      </c>
      <c r="C925" s="83" t="s">
        <v>5027</v>
      </c>
      <c r="D925" s="83">
        <v>1</v>
      </c>
      <c r="E925" s="83" t="s">
        <v>5019</v>
      </c>
      <c r="F925" s="83">
        <v>4035</v>
      </c>
      <c r="G925" s="83" t="s">
        <v>3856</v>
      </c>
      <c r="H925" s="83" t="s">
        <v>1201</v>
      </c>
      <c r="I925" s="83" t="s">
        <v>1202</v>
      </c>
      <c r="J925" s="83" t="s">
        <v>1203</v>
      </c>
      <c r="K925" s="83" t="s">
        <v>565</v>
      </c>
      <c r="L925" s="83" t="s">
        <v>398</v>
      </c>
      <c r="M925" s="83" t="s">
        <v>399</v>
      </c>
      <c r="N925" s="83">
        <v>32207</v>
      </c>
      <c r="S925" s="83">
        <v>1974</v>
      </c>
      <c r="AD925" s="83">
        <v>325877</v>
      </c>
      <c r="AF925" s="83">
        <v>56387</v>
      </c>
      <c r="AJ925" s="83">
        <v>1</v>
      </c>
      <c r="AK925" s="83">
        <v>1</v>
      </c>
      <c r="AL925" s="83">
        <v>2547</v>
      </c>
      <c r="BK925" s="83" t="s">
        <v>5020</v>
      </c>
      <c r="BL925" s="83" t="s">
        <v>5018</v>
      </c>
      <c r="CH925" s="83">
        <v>2</v>
      </c>
    </row>
    <row r="926" spans="1:91" s="79" customFormat="1" ht="42">
      <c r="A926" s="89" t="s">
        <v>5022</v>
      </c>
      <c r="B926" s="79" t="s">
        <v>540</v>
      </c>
      <c r="D926" s="79" t="s">
        <v>688</v>
      </c>
      <c r="E926" s="79" t="s">
        <v>689</v>
      </c>
      <c r="F926" s="79" t="s">
        <v>3370</v>
      </c>
      <c r="G926" s="79" t="s">
        <v>1152</v>
      </c>
      <c r="H926" s="79" t="s">
        <v>566</v>
      </c>
      <c r="I926" s="79" t="s">
        <v>567</v>
      </c>
      <c r="J926" s="79" t="s">
        <v>564</v>
      </c>
      <c r="K926" s="79" t="s">
        <v>565</v>
      </c>
      <c r="L926" s="79" t="s">
        <v>398</v>
      </c>
      <c r="M926" s="79" t="s">
        <v>399</v>
      </c>
      <c r="N926" s="79" t="s">
        <v>2752</v>
      </c>
      <c r="O926" s="79" t="s">
        <v>106</v>
      </c>
      <c r="P926" s="79">
        <v>4</v>
      </c>
      <c r="Q926" s="79" t="s">
        <v>106</v>
      </c>
      <c r="R926" s="79" t="s">
        <v>2799</v>
      </c>
      <c r="S926" s="79" t="s">
        <v>2712</v>
      </c>
      <c r="T926" s="79" t="s">
        <v>2703</v>
      </c>
      <c r="U926" s="79" t="s">
        <v>401</v>
      </c>
      <c r="AC926" s="79" t="s">
        <v>401</v>
      </c>
      <c r="AF926" s="79">
        <v>850000</v>
      </c>
      <c r="AJ926" s="79">
        <v>1</v>
      </c>
      <c r="AK926" s="79">
        <v>1</v>
      </c>
      <c r="AL926" s="79">
        <v>10424</v>
      </c>
      <c r="AM926" s="79" t="s">
        <v>2693</v>
      </c>
      <c r="BK926" s="79" t="s">
        <v>2694</v>
      </c>
      <c r="BL926" s="79" t="s">
        <v>2697</v>
      </c>
      <c r="BM926" s="79" t="s">
        <v>2699</v>
      </c>
      <c r="BN926" s="79" t="s">
        <v>2698</v>
      </c>
      <c r="BO926" s="79" t="s">
        <v>2697</v>
      </c>
      <c r="BP926" s="79" t="s">
        <v>2695</v>
      </c>
      <c r="BQ926" s="79" t="s">
        <v>2699</v>
      </c>
      <c r="BR926" s="79" t="s">
        <v>2699</v>
      </c>
      <c r="BS926" s="79" t="s">
        <v>2699</v>
      </c>
      <c r="BT926" s="79" t="s">
        <v>2696</v>
      </c>
      <c r="BU926" s="79" t="s">
        <v>2699</v>
      </c>
      <c r="BV926" s="79" t="s">
        <v>2697</v>
      </c>
      <c r="BW926" s="79" t="s">
        <v>2698</v>
      </c>
      <c r="BX926" s="79" t="s">
        <v>2696</v>
      </c>
      <c r="BY926" s="79" t="s">
        <v>2699</v>
      </c>
      <c r="BZ926" s="79" t="s">
        <v>2699</v>
      </c>
      <c r="CA926" s="79" t="s">
        <v>2693</v>
      </c>
      <c r="CB926" s="79" t="s">
        <v>2694</v>
      </c>
      <c r="CC926" s="79" t="s">
        <v>2699</v>
      </c>
      <c r="CD926" s="79" t="s">
        <v>2699</v>
      </c>
      <c r="CF926" s="79" t="s">
        <v>572</v>
      </c>
      <c r="CG926" s="79" t="s">
        <v>573</v>
      </c>
      <c r="CH926" s="79" t="s">
        <v>2693</v>
      </c>
      <c r="CI926" s="79" t="s">
        <v>3992</v>
      </c>
      <c r="CJ926" s="79" t="s">
        <v>2701</v>
      </c>
      <c r="CK926" s="145">
        <v>0</v>
      </c>
      <c r="CL926" s="174">
        <v>28000</v>
      </c>
    </row>
    <row r="927" spans="1:91" s="79" customFormat="1">
      <c r="A927" s="89" t="s">
        <v>5028</v>
      </c>
      <c r="B927" s="79" t="s">
        <v>5029</v>
      </c>
      <c r="E927" s="79" t="s">
        <v>5029</v>
      </c>
      <c r="F927" s="79">
        <v>3821</v>
      </c>
      <c r="G927" s="79" t="s">
        <v>5030</v>
      </c>
      <c r="H927" s="79" t="s">
        <v>1201</v>
      </c>
      <c r="I927" s="79" t="s">
        <v>1202</v>
      </c>
      <c r="J927" s="79" t="s">
        <v>1203</v>
      </c>
      <c r="K927" s="79" t="s">
        <v>565</v>
      </c>
      <c r="L927" s="79" t="s">
        <v>398</v>
      </c>
      <c r="CK927" s="145"/>
      <c r="CL927" s="174"/>
    </row>
    <row r="928" spans="1:91">
      <c r="A928" s="83" t="s">
        <v>5023</v>
      </c>
      <c r="B928" s="83" t="s">
        <v>5024</v>
      </c>
      <c r="C928" s="83" t="s">
        <v>5027</v>
      </c>
      <c r="E928" s="83" t="s">
        <v>5024</v>
      </c>
      <c r="F928" s="83">
        <v>7439</v>
      </c>
      <c r="G928" s="83" t="s">
        <v>5025</v>
      </c>
      <c r="H928" s="83" t="s">
        <v>1201</v>
      </c>
      <c r="I928" s="83" t="s">
        <v>1202</v>
      </c>
      <c r="J928" s="83" t="s">
        <v>1203</v>
      </c>
      <c r="K928" s="83" t="s">
        <v>565</v>
      </c>
      <c r="L928" s="83" t="s">
        <v>398</v>
      </c>
      <c r="N928" s="83">
        <v>32219</v>
      </c>
    </row>
    <row r="929" spans="1:90" s="79" customFormat="1" ht="60">
      <c r="A929" s="89" t="s">
        <v>5031</v>
      </c>
      <c r="B929" s="79" t="s">
        <v>694</v>
      </c>
      <c r="D929" s="79" t="s">
        <v>688</v>
      </c>
      <c r="E929" s="79" t="s">
        <v>2478</v>
      </c>
      <c r="F929" s="79">
        <v>1410</v>
      </c>
      <c r="G929" s="79" t="s">
        <v>2264</v>
      </c>
      <c r="H929" s="79" t="s">
        <v>1201</v>
      </c>
      <c r="I929" s="79" t="s">
        <v>1202</v>
      </c>
      <c r="J929" s="79" t="s">
        <v>1203</v>
      </c>
      <c r="K929" s="79" t="s">
        <v>565</v>
      </c>
      <c r="L929" s="79" t="s">
        <v>398</v>
      </c>
      <c r="M929" s="79" t="s">
        <v>399</v>
      </c>
      <c r="N929" s="79" t="s">
        <v>2752</v>
      </c>
      <c r="O929" s="79" t="s">
        <v>106</v>
      </c>
      <c r="P929" s="79">
        <v>4</v>
      </c>
      <c r="Q929" s="79" t="s">
        <v>106</v>
      </c>
      <c r="R929" s="79">
        <v>24</v>
      </c>
      <c r="S929" s="90">
        <v>3653</v>
      </c>
      <c r="T929" s="79" t="s">
        <v>2703</v>
      </c>
      <c r="U929" s="79" t="s">
        <v>401</v>
      </c>
      <c r="V929" s="97"/>
      <c r="W929" s="97"/>
      <c r="X929" s="97"/>
      <c r="Y929" s="97"/>
      <c r="Z929" s="97"/>
      <c r="AA929" s="97"/>
      <c r="AB929" s="97"/>
      <c r="AC929" s="79" t="s">
        <v>401</v>
      </c>
      <c r="AF929" s="79">
        <v>938833</v>
      </c>
      <c r="AJ929" s="79">
        <v>1</v>
      </c>
      <c r="AK929" s="83">
        <v>1</v>
      </c>
      <c r="AL929" s="79">
        <v>4960</v>
      </c>
      <c r="AM929" s="79" t="s">
        <v>2693</v>
      </c>
      <c r="BK929" s="79">
        <v>9</v>
      </c>
      <c r="BL929" s="79">
        <v>3</v>
      </c>
      <c r="BM929" s="79">
        <v>2</v>
      </c>
      <c r="BN929" s="79">
        <v>5</v>
      </c>
      <c r="BO929" s="79">
        <v>2</v>
      </c>
      <c r="BP929" s="79">
        <v>5</v>
      </c>
      <c r="BQ929" s="79">
        <v>1</v>
      </c>
      <c r="BR929" s="79">
        <v>2</v>
      </c>
      <c r="BS929" s="79">
        <v>1</v>
      </c>
      <c r="BT929" s="79">
        <v>0</v>
      </c>
      <c r="BU929" s="79">
        <v>1</v>
      </c>
      <c r="BV929" s="79">
        <v>0</v>
      </c>
      <c r="BW929" s="79">
        <v>5</v>
      </c>
      <c r="BX929" s="83">
        <v>0</v>
      </c>
      <c r="BY929" s="79">
        <v>1</v>
      </c>
      <c r="BZ929" s="79">
        <v>0</v>
      </c>
      <c r="CA929" s="79">
        <v>1</v>
      </c>
      <c r="CB929" s="79">
        <v>8</v>
      </c>
      <c r="CC929" s="79">
        <v>1</v>
      </c>
      <c r="CD929" s="79">
        <v>0</v>
      </c>
      <c r="CF929" s="79" t="s">
        <v>3902</v>
      </c>
      <c r="CG929" s="79" t="s">
        <v>3903</v>
      </c>
      <c r="CH929" s="79" t="s">
        <v>2693</v>
      </c>
      <c r="CI929" s="83" t="s">
        <v>3992</v>
      </c>
      <c r="CJ929" s="83" t="s">
        <v>2701</v>
      </c>
      <c r="CK929" s="145"/>
      <c r="CL929" s="99">
        <v>30000</v>
      </c>
    </row>
    <row r="930" spans="1:90">
      <c r="B930" s="83" t="s">
        <v>112</v>
      </c>
    </row>
  </sheetData>
  <dataValidations count="5">
    <dataValidation type="list" allowBlank="1" showInputMessage="1" showErrorMessage="1" sqref="CH703 BO703:CD703">
      <formula1>roofage</formula1>
    </dataValidation>
    <dataValidation type="list" allowBlank="1" showInputMessage="1" showErrorMessage="1" sqref="BN703">
      <formula1>roofanchor</formula1>
    </dataValidation>
    <dataValidation type="list" allowBlank="1" showInputMessage="1" showErrorMessage="1" sqref="BM703">
      <formula1>RoofGeo</formula1>
    </dataValidation>
    <dataValidation type="list" allowBlank="1" showInputMessage="1" showErrorMessage="1" sqref="BK703">
      <formula1>ConstQual</formula1>
    </dataValidation>
    <dataValidation type="list" allowBlank="1" showInputMessage="1" showErrorMessage="1" sqref="BL703">
      <formula1>RoofCover</formula1>
    </dataValidation>
  </dataValidations>
  <pageMargins left="0.7" right="0.7" top="0.75" bottom="0.75" header="0.3" footer="0.3"/>
  <pageSetup orientation="portrait" verticalDpi="120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39"/>
  <sheetViews>
    <sheetView topLeftCell="F2328" workbookViewId="0">
      <selection activeCell="N2340" sqref="N2340"/>
    </sheetView>
  </sheetViews>
  <sheetFormatPr defaultColWidth="8.85546875" defaultRowHeight="12.75"/>
  <cols>
    <col min="1" max="1" width="13.42578125" bestFit="1" customWidth="1"/>
    <col min="2" max="2" width="25.85546875" bestFit="1" customWidth="1"/>
    <col min="3" max="3" width="15.140625" bestFit="1" customWidth="1"/>
    <col min="4" max="4" width="12.42578125" bestFit="1" customWidth="1"/>
    <col min="5" max="5" width="10.42578125" bestFit="1" customWidth="1"/>
    <col min="6" max="6" width="28.140625" bestFit="1" customWidth="1"/>
    <col min="7" max="7" width="6.28515625" bestFit="1" customWidth="1"/>
    <col min="8" max="8" width="36.42578125" bestFit="1" customWidth="1"/>
    <col min="9" max="9" width="6.7109375" bestFit="1" customWidth="1"/>
    <col min="10" max="10" width="21" bestFit="1" customWidth="1"/>
    <col min="11" max="11" width="5" bestFit="1" customWidth="1"/>
    <col min="12" max="12" width="4.140625" bestFit="1" customWidth="1"/>
    <col min="13" max="13" width="7.42578125" bestFit="1" customWidth="1"/>
    <col min="14" max="14" width="9" bestFit="1" customWidth="1"/>
    <col min="15" max="15" width="36.42578125" bestFit="1" customWidth="1"/>
    <col min="16" max="16" width="33.42578125" bestFit="1" customWidth="1"/>
  </cols>
  <sheetData>
    <row r="1" spans="1:16" ht="25.5">
      <c r="A1" s="141" t="s">
        <v>4310</v>
      </c>
      <c r="B1" s="141" t="s">
        <v>4311</v>
      </c>
      <c r="C1" s="141" t="s">
        <v>4312</v>
      </c>
      <c r="D1" s="141" t="s">
        <v>4313</v>
      </c>
      <c r="E1" s="141" t="s">
        <v>4314</v>
      </c>
      <c r="F1" s="141" t="s">
        <v>4315</v>
      </c>
      <c r="G1" s="141" t="s">
        <v>4316</v>
      </c>
      <c r="H1" s="141" t="s">
        <v>4317</v>
      </c>
      <c r="I1" s="141" t="s">
        <v>4318</v>
      </c>
      <c r="J1" s="141" t="s">
        <v>4319</v>
      </c>
      <c r="K1" s="141" t="s">
        <v>4320</v>
      </c>
      <c r="L1" s="141" t="s">
        <v>4321</v>
      </c>
      <c r="M1" s="141" t="s">
        <v>4322</v>
      </c>
      <c r="N1" s="141" t="s">
        <v>4323</v>
      </c>
      <c r="O1" s="141" t="s">
        <v>238</v>
      </c>
      <c r="P1" s="141" t="s">
        <v>4324</v>
      </c>
    </row>
    <row r="2" spans="1:16" ht="25.5">
      <c r="A2" s="141">
        <v>76807</v>
      </c>
      <c r="B2" s="141" t="s">
        <v>4325</v>
      </c>
      <c r="C2" s="142">
        <v>41201</v>
      </c>
      <c r="D2" s="141">
        <v>1155</v>
      </c>
      <c r="E2" s="141" t="str">
        <f t="shared" ref="E2:E65" si="0">"001"</f>
        <v>001</v>
      </c>
      <c r="F2" s="141" t="s">
        <v>4326</v>
      </c>
      <c r="G2" s="141" t="str">
        <f>"0002"</f>
        <v>0002</v>
      </c>
      <c r="H2" s="141" t="s">
        <v>2357</v>
      </c>
      <c r="I2" s="141" t="str">
        <f t="shared" ref="I2:I65" si="1">"999"</f>
        <v>999</v>
      </c>
      <c r="J2" s="141" t="s">
        <v>4327</v>
      </c>
      <c r="K2" s="141">
        <v>2939</v>
      </c>
      <c r="L2" s="141">
        <v>1</v>
      </c>
      <c r="M2" s="141">
        <v>0</v>
      </c>
      <c r="N2" s="141">
        <v>8000</v>
      </c>
      <c r="O2" s="141" t="s">
        <v>4328</v>
      </c>
      <c r="P2" s="141" t="s">
        <v>4329</v>
      </c>
    </row>
    <row r="3" spans="1:16" ht="25.5">
      <c r="A3" s="141">
        <v>76807</v>
      </c>
      <c r="B3" s="141" t="s">
        <v>4325</v>
      </c>
      <c r="C3" s="142">
        <v>41201</v>
      </c>
      <c r="D3" s="141">
        <v>1154</v>
      </c>
      <c r="E3" s="141" t="str">
        <f t="shared" si="0"/>
        <v>001</v>
      </c>
      <c r="F3" s="141" t="s">
        <v>4326</v>
      </c>
      <c r="G3" s="141" t="str">
        <f>"0016"</f>
        <v>0016</v>
      </c>
      <c r="H3" s="141" t="s">
        <v>3388</v>
      </c>
      <c r="I3" s="141" t="str">
        <f t="shared" si="1"/>
        <v>999</v>
      </c>
      <c r="J3" s="141" t="s">
        <v>4327</v>
      </c>
      <c r="K3" s="141">
        <v>2937</v>
      </c>
      <c r="L3" s="141">
        <v>1</v>
      </c>
      <c r="M3" s="141">
        <v>0</v>
      </c>
      <c r="N3" s="141">
        <v>3000</v>
      </c>
      <c r="O3" s="141" t="s">
        <v>4330</v>
      </c>
      <c r="P3" s="141" t="s">
        <v>4331</v>
      </c>
    </row>
    <row r="4" spans="1:16" ht="25.5">
      <c r="A4" s="141">
        <v>76807</v>
      </c>
      <c r="B4" s="141" t="s">
        <v>4325</v>
      </c>
      <c r="C4" s="142">
        <v>41201</v>
      </c>
      <c r="D4" s="141">
        <v>1154</v>
      </c>
      <c r="E4" s="141" t="str">
        <f t="shared" si="0"/>
        <v>001</v>
      </c>
      <c r="F4" s="141" t="s">
        <v>4326</v>
      </c>
      <c r="G4" s="141" t="str">
        <f>"0016"</f>
        <v>0016</v>
      </c>
      <c r="H4" s="141" t="s">
        <v>3388</v>
      </c>
      <c r="I4" s="141" t="str">
        <f t="shared" si="1"/>
        <v>999</v>
      </c>
      <c r="J4" s="141" t="s">
        <v>4327</v>
      </c>
      <c r="K4" s="141">
        <v>2938</v>
      </c>
      <c r="L4" s="141">
        <v>1</v>
      </c>
      <c r="M4" s="141">
        <v>0</v>
      </c>
      <c r="N4" s="141">
        <v>55000</v>
      </c>
      <c r="O4" s="141" t="s">
        <v>4332</v>
      </c>
      <c r="P4" s="141" t="s">
        <v>4333</v>
      </c>
    </row>
    <row r="5" spans="1:16" ht="25.5">
      <c r="A5" s="141">
        <v>76807</v>
      </c>
      <c r="B5" s="141" t="s">
        <v>4325</v>
      </c>
      <c r="C5" s="142">
        <v>41201</v>
      </c>
      <c r="D5" s="141">
        <v>1154</v>
      </c>
      <c r="E5" s="141" t="str">
        <f t="shared" si="0"/>
        <v>001</v>
      </c>
      <c r="F5" s="141" t="s">
        <v>4326</v>
      </c>
      <c r="G5" s="141" t="str">
        <f>"0016"</f>
        <v>0016</v>
      </c>
      <c r="H5" s="141" t="s">
        <v>3388</v>
      </c>
      <c r="I5" s="141" t="str">
        <f t="shared" si="1"/>
        <v>999</v>
      </c>
      <c r="J5" s="141" t="s">
        <v>4327</v>
      </c>
      <c r="K5" s="141">
        <v>2953</v>
      </c>
      <c r="L5" s="141">
        <v>9</v>
      </c>
      <c r="M5" s="141">
        <v>0</v>
      </c>
      <c r="N5" s="141">
        <v>26000</v>
      </c>
      <c r="O5" s="141" t="s">
        <v>4334</v>
      </c>
      <c r="P5" s="141" t="s">
        <v>4335</v>
      </c>
    </row>
    <row r="6" spans="1:16" ht="25.5">
      <c r="A6" s="141">
        <v>76807</v>
      </c>
      <c r="B6" s="141" t="s">
        <v>4325</v>
      </c>
      <c r="C6" s="142">
        <v>41201</v>
      </c>
      <c r="D6" s="141">
        <v>1160</v>
      </c>
      <c r="E6" s="141" t="str">
        <f t="shared" si="0"/>
        <v>001</v>
      </c>
      <c r="F6" s="141" t="s">
        <v>4326</v>
      </c>
      <c r="G6" s="141" t="str">
        <f>"0022"</f>
        <v>0022</v>
      </c>
      <c r="H6" s="141" t="s">
        <v>1058</v>
      </c>
      <c r="I6" s="141" t="str">
        <f t="shared" si="1"/>
        <v>999</v>
      </c>
      <c r="J6" s="141" t="s">
        <v>4327</v>
      </c>
      <c r="K6" s="141">
        <v>2970</v>
      </c>
      <c r="L6" s="141">
        <v>1</v>
      </c>
      <c r="M6" s="141">
        <v>0</v>
      </c>
      <c r="N6" s="141">
        <v>10000</v>
      </c>
      <c r="O6" s="141" t="s">
        <v>4332</v>
      </c>
      <c r="P6" s="141" t="s">
        <v>4336</v>
      </c>
    </row>
    <row r="7" spans="1:16" ht="25.5">
      <c r="A7" s="141">
        <v>76807</v>
      </c>
      <c r="B7" s="141" t="s">
        <v>4325</v>
      </c>
      <c r="C7" s="142">
        <v>41201</v>
      </c>
      <c r="D7" s="141">
        <v>694</v>
      </c>
      <c r="E7" s="141" t="str">
        <f t="shared" si="0"/>
        <v>001</v>
      </c>
      <c r="F7" s="141" t="s">
        <v>4326</v>
      </c>
      <c r="G7" s="141" t="str">
        <f>"0024"</f>
        <v>0024</v>
      </c>
      <c r="H7" s="141" t="s">
        <v>715</v>
      </c>
      <c r="I7" s="141" t="str">
        <f t="shared" si="1"/>
        <v>999</v>
      </c>
      <c r="J7" s="141" t="s">
        <v>4327</v>
      </c>
      <c r="K7" s="141">
        <v>1874</v>
      </c>
      <c r="L7" s="141">
        <v>1</v>
      </c>
      <c r="M7" s="141">
        <v>0</v>
      </c>
      <c r="N7" s="141">
        <v>22000</v>
      </c>
      <c r="O7" s="141" t="s">
        <v>4337</v>
      </c>
      <c r="P7" s="141" t="s">
        <v>4338</v>
      </c>
    </row>
    <row r="8" spans="1:16" ht="25.5">
      <c r="A8" s="141">
        <v>76807</v>
      </c>
      <c r="B8" s="141" t="s">
        <v>4325</v>
      </c>
      <c r="C8" s="142">
        <v>41201</v>
      </c>
      <c r="D8" s="141">
        <v>694</v>
      </c>
      <c r="E8" s="141" t="str">
        <f t="shared" si="0"/>
        <v>001</v>
      </c>
      <c r="F8" s="141" t="s">
        <v>4326</v>
      </c>
      <c r="G8" s="141" t="str">
        <f>"0024"</f>
        <v>0024</v>
      </c>
      <c r="H8" s="141" t="s">
        <v>715</v>
      </c>
      <c r="I8" s="141" t="str">
        <f t="shared" si="1"/>
        <v>999</v>
      </c>
      <c r="J8" s="141" t="s">
        <v>4327</v>
      </c>
      <c r="K8" s="141">
        <v>1875</v>
      </c>
      <c r="L8" s="141">
        <v>4</v>
      </c>
      <c r="M8" s="141">
        <v>0</v>
      </c>
      <c r="N8" s="141">
        <v>10000</v>
      </c>
      <c r="O8" s="141" t="s">
        <v>4339</v>
      </c>
      <c r="P8" s="141" t="s">
        <v>4340</v>
      </c>
    </row>
    <row r="9" spans="1:16" ht="25.5">
      <c r="A9" s="141">
        <v>76807</v>
      </c>
      <c r="B9" s="141" t="s">
        <v>4325</v>
      </c>
      <c r="C9" s="142">
        <v>41201</v>
      </c>
      <c r="D9" s="141">
        <v>364</v>
      </c>
      <c r="E9" s="141" t="str">
        <f t="shared" si="0"/>
        <v>001</v>
      </c>
      <c r="F9" s="141" t="s">
        <v>4326</v>
      </c>
      <c r="G9" s="141" t="str">
        <f t="shared" ref="G9:G14" si="2">"0032"</f>
        <v>0032</v>
      </c>
      <c r="H9" s="141" t="s">
        <v>738</v>
      </c>
      <c r="I9" s="141" t="str">
        <f t="shared" si="1"/>
        <v>999</v>
      </c>
      <c r="J9" s="141" t="s">
        <v>4327</v>
      </c>
      <c r="K9" s="141">
        <v>773</v>
      </c>
      <c r="L9" s="141">
        <v>1</v>
      </c>
      <c r="M9" s="141">
        <v>0</v>
      </c>
      <c r="N9" s="141">
        <v>13000</v>
      </c>
      <c r="O9" s="141" t="s">
        <v>4341</v>
      </c>
      <c r="P9" s="141" t="s">
        <v>4342</v>
      </c>
    </row>
    <row r="10" spans="1:16" ht="25.5">
      <c r="A10" s="141">
        <v>76807</v>
      </c>
      <c r="B10" s="141" t="s">
        <v>4325</v>
      </c>
      <c r="C10" s="142">
        <v>41201</v>
      </c>
      <c r="D10" s="141">
        <v>364</v>
      </c>
      <c r="E10" s="141" t="str">
        <f t="shared" si="0"/>
        <v>001</v>
      </c>
      <c r="F10" s="141" t="s">
        <v>4326</v>
      </c>
      <c r="G10" s="141" t="str">
        <f t="shared" si="2"/>
        <v>0032</v>
      </c>
      <c r="H10" s="141" t="s">
        <v>738</v>
      </c>
      <c r="I10" s="141" t="str">
        <f t="shared" si="1"/>
        <v>999</v>
      </c>
      <c r="J10" s="141" t="s">
        <v>4327</v>
      </c>
      <c r="K10" s="141">
        <v>774</v>
      </c>
      <c r="L10" s="141">
        <v>4</v>
      </c>
      <c r="M10" s="141">
        <v>0</v>
      </c>
      <c r="N10" s="141">
        <v>3000</v>
      </c>
      <c r="O10" s="141" t="s">
        <v>4343</v>
      </c>
      <c r="P10" s="141"/>
    </row>
    <row r="11" spans="1:16" ht="25.5">
      <c r="A11" s="141">
        <v>76807</v>
      </c>
      <c r="B11" s="141" t="s">
        <v>4325</v>
      </c>
      <c r="C11" s="142">
        <v>41201</v>
      </c>
      <c r="D11" s="141">
        <v>364</v>
      </c>
      <c r="E11" s="141" t="str">
        <f t="shared" si="0"/>
        <v>001</v>
      </c>
      <c r="F11" s="141" t="s">
        <v>4326</v>
      </c>
      <c r="G11" s="141" t="str">
        <f t="shared" si="2"/>
        <v>0032</v>
      </c>
      <c r="H11" s="141" t="s">
        <v>738</v>
      </c>
      <c r="I11" s="141" t="str">
        <f t="shared" si="1"/>
        <v>999</v>
      </c>
      <c r="J11" s="141" t="s">
        <v>4327</v>
      </c>
      <c r="K11" s="141">
        <v>775</v>
      </c>
      <c r="L11" s="141">
        <v>1</v>
      </c>
      <c r="M11" s="141">
        <v>0</v>
      </c>
      <c r="N11" s="141">
        <v>1000</v>
      </c>
      <c r="O11" s="141" t="s">
        <v>4344</v>
      </c>
      <c r="P11" s="141"/>
    </row>
    <row r="12" spans="1:16" ht="25.5">
      <c r="A12" s="141">
        <v>76807</v>
      </c>
      <c r="B12" s="141" t="s">
        <v>4325</v>
      </c>
      <c r="C12" s="142">
        <v>41201</v>
      </c>
      <c r="D12" s="141">
        <v>364</v>
      </c>
      <c r="E12" s="141" t="str">
        <f t="shared" si="0"/>
        <v>001</v>
      </c>
      <c r="F12" s="141" t="s">
        <v>4326</v>
      </c>
      <c r="G12" s="141" t="str">
        <f t="shared" si="2"/>
        <v>0032</v>
      </c>
      <c r="H12" s="141" t="s">
        <v>738</v>
      </c>
      <c r="I12" s="141" t="str">
        <f t="shared" si="1"/>
        <v>999</v>
      </c>
      <c r="J12" s="141" t="s">
        <v>4327</v>
      </c>
      <c r="K12" s="141">
        <v>776</v>
      </c>
      <c r="L12" s="141">
        <v>1</v>
      </c>
      <c r="M12" s="141">
        <v>0</v>
      </c>
      <c r="N12" s="141">
        <v>2000</v>
      </c>
      <c r="O12" s="141" t="s">
        <v>4345</v>
      </c>
      <c r="P12" s="141"/>
    </row>
    <row r="13" spans="1:16" ht="25.5">
      <c r="A13" s="141">
        <v>76807</v>
      </c>
      <c r="B13" s="141" t="s">
        <v>4325</v>
      </c>
      <c r="C13" s="142">
        <v>41201</v>
      </c>
      <c r="D13" s="141">
        <v>364</v>
      </c>
      <c r="E13" s="141" t="str">
        <f t="shared" si="0"/>
        <v>001</v>
      </c>
      <c r="F13" s="141" t="s">
        <v>4326</v>
      </c>
      <c r="G13" s="141" t="str">
        <f t="shared" si="2"/>
        <v>0032</v>
      </c>
      <c r="H13" s="141" t="s">
        <v>738</v>
      </c>
      <c r="I13" s="141" t="str">
        <f t="shared" si="1"/>
        <v>999</v>
      </c>
      <c r="J13" s="141" t="s">
        <v>4327</v>
      </c>
      <c r="K13" s="141">
        <v>777</v>
      </c>
      <c r="L13" s="141">
        <v>1</v>
      </c>
      <c r="M13" s="141">
        <v>0</v>
      </c>
      <c r="N13" s="141">
        <v>5000</v>
      </c>
      <c r="O13" s="141" t="s">
        <v>4346</v>
      </c>
      <c r="P13" s="141"/>
    </row>
    <row r="14" spans="1:16" ht="25.5">
      <c r="A14" s="141">
        <v>76807</v>
      </c>
      <c r="B14" s="141" t="s">
        <v>4325</v>
      </c>
      <c r="C14" s="142">
        <v>41201</v>
      </c>
      <c r="D14" s="141">
        <v>364</v>
      </c>
      <c r="E14" s="141" t="str">
        <f t="shared" si="0"/>
        <v>001</v>
      </c>
      <c r="F14" s="141" t="s">
        <v>4326</v>
      </c>
      <c r="G14" s="141" t="str">
        <f t="shared" si="2"/>
        <v>0032</v>
      </c>
      <c r="H14" s="141" t="s">
        <v>738</v>
      </c>
      <c r="I14" s="141" t="str">
        <f t="shared" si="1"/>
        <v>999</v>
      </c>
      <c r="J14" s="141" t="s">
        <v>4327</v>
      </c>
      <c r="K14" s="141">
        <v>778</v>
      </c>
      <c r="L14" s="141">
        <v>1</v>
      </c>
      <c r="M14" s="141">
        <v>0</v>
      </c>
      <c r="N14" s="141">
        <v>2000</v>
      </c>
      <c r="O14" s="141" t="s">
        <v>4347</v>
      </c>
      <c r="P14" s="141"/>
    </row>
    <row r="15" spans="1:16" ht="25.5">
      <c r="A15" s="141">
        <v>76807</v>
      </c>
      <c r="B15" s="141" t="s">
        <v>4325</v>
      </c>
      <c r="C15" s="142">
        <v>41201</v>
      </c>
      <c r="D15" s="141">
        <v>1168</v>
      </c>
      <c r="E15" s="141" t="str">
        <f t="shared" si="0"/>
        <v>001</v>
      </c>
      <c r="F15" s="141" t="s">
        <v>4326</v>
      </c>
      <c r="G15" s="141" t="str">
        <f>"0034"</f>
        <v>0034</v>
      </c>
      <c r="H15" s="141" t="s">
        <v>2366</v>
      </c>
      <c r="I15" s="141" t="str">
        <f t="shared" si="1"/>
        <v>999</v>
      </c>
      <c r="J15" s="141" t="s">
        <v>4327</v>
      </c>
      <c r="K15" s="141">
        <v>3049</v>
      </c>
      <c r="L15" s="141">
        <v>10</v>
      </c>
      <c r="M15" s="141">
        <v>0</v>
      </c>
      <c r="N15" s="141">
        <v>23000</v>
      </c>
      <c r="O15" s="141" t="s">
        <v>4334</v>
      </c>
      <c r="P15" s="141" t="s">
        <v>4340</v>
      </c>
    </row>
    <row r="16" spans="1:16" ht="25.5">
      <c r="A16" s="141">
        <v>76807</v>
      </c>
      <c r="B16" s="141" t="s">
        <v>4325</v>
      </c>
      <c r="C16" s="142">
        <v>41201</v>
      </c>
      <c r="D16" s="141">
        <v>1168</v>
      </c>
      <c r="E16" s="141" t="str">
        <f t="shared" si="0"/>
        <v>001</v>
      </c>
      <c r="F16" s="141" t="s">
        <v>4326</v>
      </c>
      <c r="G16" s="141" t="str">
        <f>"0034"</f>
        <v>0034</v>
      </c>
      <c r="H16" s="141" t="s">
        <v>2366</v>
      </c>
      <c r="I16" s="141" t="str">
        <f t="shared" si="1"/>
        <v>999</v>
      </c>
      <c r="J16" s="141" t="s">
        <v>4327</v>
      </c>
      <c r="K16" s="141">
        <v>3050</v>
      </c>
      <c r="L16" s="141">
        <v>1</v>
      </c>
      <c r="M16" s="141">
        <v>0</v>
      </c>
      <c r="N16" s="141">
        <v>4000</v>
      </c>
      <c r="O16" s="141" t="s">
        <v>4330</v>
      </c>
      <c r="P16" s="141" t="s">
        <v>4348</v>
      </c>
    </row>
    <row r="17" spans="1:16" ht="25.5">
      <c r="A17" s="141">
        <v>76807</v>
      </c>
      <c r="B17" s="141" t="s">
        <v>4325</v>
      </c>
      <c r="C17" s="142">
        <v>41201</v>
      </c>
      <c r="D17" s="141">
        <v>1168</v>
      </c>
      <c r="E17" s="141" t="str">
        <f t="shared" si="0"/>
        <v>001</v>
      </c>
      <c r="F17" s="141" t="s">
        <v>4326</v>
      </c>
      <c r="G17" s="141" t="str">
        <f>"0034"</f>
        <v>0034</v>
      </c>
      <c r="H17" s="141" t="s">
        <v>2366</v>
      </c>
      <c r="I17" s="141" t="str">
        <f t="shared" si="1"/>
        <v>999</v>
      </c>
      <c r="J17" s="141" t="s">
        <v>4327</v>
      </c>
      <c r="K17" s="141">
        <v>3051</v>
      </c>
      <c r="L17" s="141">
        <v>2</v>
      </c>
      <c r="M17" s="141">
        <v>0</v>
      </c>
      <c r="N17" s="141">
        <v>1000</v>
      </c>
      <c r="O17" s="141" t="s">
        <v>4349</v>
      </c>
      <c r="P17" s="141"/>
    </row>
    <row r="18" spans="1:16" ht="25.5">
      <c r="A18" s="141">
        <v>76807</v>
      </c>
      <c r="B18" s="141" t="s">
        <v>4325</v>
      </c>
      <c r="C18" s="142">
        <v>41201</v>
      </c>
      <c r="D18" s="141">
        <v>1168</v>
      </c>
      <c r="E18" s="141" t="str">
        <f t="shared" si="0"/>
        <v>001</v>
      </c>
      <c r="F18" s="141" t="s">
        <v>4326</v>
      </c>
      <c r="G18" s="141" t="str">
        <f>"0034"</f>
        <v>0034</v>
      </c>
      <c r="H18" s="141" t="s">
        <v>2366</v>
      </c>
      <c r="I18" s="141" t="str">
        <f t="shared" si="1"/>
        <v>999</v>
      </c>
      <c r="J18" s="141" t="s">
        <v>4327</v>
      </c>
      <c r="K18" s="141">
        <v>3052</v>
      </c>
      <c r="L18" s="141">
        <v>3</v>
      </c>
      <c r="M18" s="141">
        <v>0</v>
      </c>
      <c r="N18" s="141">
        <v>2000</v>
      </c>
      <c r="O18" s="141" t="s">
        <v>4343</v>
      </c>
      <c r="P18" s="141"/>
    </row>
    <row r="19" spans="1:16" ht="25.5">
      <c r="A19" s="141">
        <v>76807</v>
      </c>
      <c r="B19" s="141" t="s">
        <v>4325</v>
      </c>
      <c r="C19" s="142">
        <v>41201</v>
      </c>
      <c r="D19" s="141">
        <v>389</v>
      </c>
      <c r="E19" s="141" t="str">
        <f t="shared" si="0"/>
        <v>001</v>
      </c>
      <c r="F19" s="141" t="s">
        <v>4326</v>
      </c>
      <c r="G19" s="141" t="str">
        <f>"0039"</f>
        <v>0039</v>
      </c>
      <c r="H19" s="141" t="s">
        <v>1610</v>
      </c>
      <c r="I19" s="141" t="str">
        <f t="shared" si="1"/>
        <v>999</v>
      </c>
      <c r="J19" s="141" t="s">
        <v>4327</v>
      </c>
      <c r="K19" s="141">
        <v>1021</v>
      </c>
      <c r="L19" s="141">
        <v>6</v>
      </c>
      <c r="M19" s="141">
        <v>0</v>
      </c>
      <c r="N19" s="141">
        <v>3000</v>
      </c>
      <c r="O19" s="141" t="s">
        <v>4350</v>
      </c>
      <c r="P19" s="141"/>
    </row>
    <row r="20" spans="1:16" ht="25.5">
      <c r="A20" s="141">
        <v>76807</v>
      </c>
      <c r="B20" s="141" t="s">
        <v>4325</v>
      </c>
      <c r="C20" s="142">
        <v>41201</v>
      </c>
      <c r="D20" s="141">
        <v>389</v>
      </c>
      <c r="E20" s="141" t="str">
        <f t="shared" si="0"/>
        <v>001</v>
      </c>
      <c r="F20" s="141" t="s">
        <v>4326</v>
      </c>
      <c r="G20" s="141" t="str">
        <f>"0039"</f>
        <v>0039</v>
      </c>
      <c r="H20" s="141" t="s">
        <v>1610</v>
      </c>
      <c r="I20" s="141" t="str">
        <f t="shared" si="1"/>
        <v>999</v>
      </c>
      <c r="J20" s="141" t="s">
        <v>4327</v>
      </c>
      <c r="K20" s="141">
        <v>1022</v>
      </c>
      <c r="L20" s="141">
        <v>1</v>
      </c>
      <c r="M20" s="141">
        <v>0</v>
      </c>
      <c r="N20" s="141">
        <v>8000</v>
      </c>
      <c r="O20" s="141" t="s">
        <v>4351</v>
      </c>
      <c r="P20" s="141" t="s">
        <v>4352</v>
      </c>
    </row>
    <row r="21" spans="1:16" ht="25.5">
      <c r="A21" s="141">
        <v>76807</v>
      </c>
      <c r="B21" s="141" t="s">
        <v>4325</v>
      </c>
      <c r="C21" s="142">
        <v>41201</v>
      </c>
      <c r="D21" s="141">
        <v>389</v>
      </c>
      <c r="E21" s="141" t="str">
        <f t="shared" si="0"/>
        <v>001</v>
      </c>
      <c r="F21" s="141" t="s">
        <v>4326</v>
      </c>
      <c r="G21" s="141" t="str">
        <f>"0039"</f>
        <v>0039</v>
      </c>
      <c r="H21" s="141" t="s">
        <v>1610</v>
      </c>
      <c r="I21" s="141" t="str">
        <f t="shared" si="1"/>
        <v>999</v>
      </c>
      <c r="J21" s="141" t="s">
        <v>4327</v>
      </c>
      <c r="K21" s="141">
        <v>1023</v>
      </c>
      <c r="L21" s="141">
        <v>1</v>
      </c>
      <c r="M21" s="141">
        <v>0</v>
      </c>
      <c r="N21" s="141">
        <v>4000</v>
      </c>
      <c r="O21" s="141" t="s">
        <v>4353</v>
      </c>
      <c r="P21" s="141" t="s">
        <v>4354</v>
      </c>
    </row>
    <row r="22" spans="1:16" ht="25.5">
      <c r="A22" s="141">
        <v>76807</v>
      </c>
      <c r="B22" s="141" t="s">
        <v>4325</v>
      </c>
      <c r="C22" s="142">
        <v>41201</v>
      </c>
      <c r="D22" s="141">
        <v>389</v>
      </c>
      <c r="E22" s="141" t="str">
        <f t="shared" si="0"/>
        <v>001</v>
      </c>
      <c r="F22" s="141" t="s">
        <v>4326</v>
      </c>
      <c r="G22" s="141" t="str">
        <f>"0039"</f>
        <v>0039</v>
      </c>
      <c r="H22" s="141" t="s">
        <v>1610</v>
      </c>
      <c r="I22" s="141" t="str">
        <f t="shared" si="1"/>
        <v>999</v>
      </c>
      <c r="J22" s="141" t="s">
        <v>4327</v>
      </c>
      <c r="K22" s="141">
        <v>1024</v>
      </c>
      <c r="L22" s="141">
        <v>1</v>
      </c>
      <c r="M22" s="141">
        <v>0</v>
      </c>
      <c r="N22" s="141">
        <v>1000</v>
      </c>
      <c r="O22" s="141" t="s">
        <v>4337</v>
      </c>
      <c r="P22" s="141" t="s">
        <v>4355</v>
      </c>
    </row>
    <row r="23" spans="1:16" ht="25.5">
      <c r="A23" s="141">
        <v>76807</v>
      </c>
      <c r="B23" s="141" t="s">
        <v>4325</v>
      </c>
      <c r="C23" s="142">
        <v>41201</v>
      </c>
      <c r="D23" s="141">
        <v>405</v>
      </c>
      <c r="E23" s="141" t="str">
        <f t="shared" si="0"/>
        <v>001</v>
      </c>
      <c r="F23" s="141" t="s">
        <v>4326</v>
      </c>
      <c r="G23" s="141" t="str">
        <f>"0042"</f>
        <v>0042</v>
      </c>
      <c r="H23" s="141" t="s">
        <v>752</v>
      </c>
      <c r="I23" s="141" t="str">
        <f t="shared" si="1"/>
        <v>999</v>
      </c>
      <c r="J23" s="141" t="s">
        <v>4327</v>
      </c>
      <c r="K23" s="141">
        <v>1084</v>
      </c>
      <c r="L23" s="141">
        <v>1</v>
      </c>
      <c r="M23" s="141">
        <v>0</v>
      </c>
      <c r="N23" s="141">
        <v>2000</v>
      </c>
      <c r="O23" s="141" t="s">
        <v>4330</v>
      </c>
      <c r="P23" s="141" t="s">
        <v>4356</v>
      </c>
    </row>
    <row r="24" spans="1:16" ht="25.5">
      <c r="A24" s="141">
        <v>76807</v>
      </c>
      <c r="B24" s="141" t="s">
        <v>4325</v>
      </c>
      <c r="C24" s="142">
        <v>41201</v>
      </c>
      <c r="D24" s="141">
        <v>366</v>
      </c>
      <c r="E24" s="141" t="str">
        <f t="shared" si="0"/>
        <v>001</v>
      </c>
      <c r="F24" s="141" t="s">
        <v>4326</v>
      </c>
      <c r="G24" s="141" t="str">
        <f t="shared" ref="G24:G37" si="3">"0043"</f>
        <v>0043</v>
      </c>
      <c r="H24" s="141" t="s">
        <v>1519</v>
      </c>
      <c r="I24" s="141" t="str">
        <f t="shared" si="1"/>
        <v>999</v>
      </c>
      <c r="J24" s="141" t="s">
        <v>4327</v>
      </c>
      <c r="K24" s="141">
        <v>782</v>
      </c>
      <c r="L24" s="141">
        <v>2</v>
      </c>
      <c r="M24" s="141">
        <v>0</v>
      </c>
      <c r="N24" s="141">
        <v>22000</v>
      </c>
      <c r="O24" s="141" t="s">
        <v>4357</v>
      </c>
      <c r="P24" s="141" t="s">
        <v>4358</v>
      </c>
    </row>
    <row r="25" spans="1:16" ht="25.5">
      <c r="A25" s="141">
        <v>76807</v>
      </c>
      <c r="B25" s="141" t="s">
        <v>4325</v>
      </c>
      <c r="C25" s="142">
        <v>41201</v>
      </c>
      <c r="D25" s="141">
        <v>366</v>
      </c>
      <c r="E25" s="141" t="str">
        <f t="shared" si="0"/>
        <v>001</v>
      </c>
      <c r="F25" s="141" t="s">
        <v>4326</v>
      </c>
      <c r="G25" s="141" t="str">
        <f t="shared" si="3"/>
        <v>0043</v>
      </c>
      <c r="H25" s="141" t="s">
        <v>1519</v>
      </c>
      <c r="I25" s="141" t="str">
        <f t="shared" si="1"/>
        <v>999</v>
      </c>
      <c r="J25" s="141" t="s">
        <v>4327</v>
      </c>
      <c r="K25" s="141">
        <v>783</v>
      </c>
      <c r="L25" s="141">
        <v>2</v>
      </c>
      <c r="M25" s="141">
        <v>0</v>
      </c>
      <c r="N25" s="141">
        <v>21000</v>
      </c>
      <c r="O25" s="141" t="s">
        <v>4357</v>
      </c>
      <c r="P25" s="141" t="s">
        <v>4359</v>
      </c>
    </row>
    <row r="26" spans="1:16" ht="25.5">
      <c r="A26" s="141">
        <v>76807</v>
      </c>
      <c r="B26" s="141" t="s">
        <v>4325</v>
      </c>
      <c r="C26" s="142">
        <v>41201</v>
      </c>
      <c r="D26" s="141">
        <v>366</v>
      </c>
      <c r="E26" s="141" t="str">
        <f t="shared" si="0"/>
        <v>001</v>
      </c>
      <c r="F26" s="141" t="s">
        <v>4326</v>
      </c>
      <c r="G26" s="141" t="str">
        <f t="shared" si="3"/>
        <v>0043</v>
      </c>
      <c r="H26" s="141" t="s">
        <v>1519</v>
      </c>
      <c r="I26" s="141" t="str">
        <f t="shared" si="1"/>
        <v>999</v>
      </c>
      <c r="J26" s="141" t="s">
        <v>4327</v>
      </c>
      <c r="K26" s="141">
        <v>784</v>
      </c>
      <c r="L26" s="141">
        <v>2</v>
      </c>
      <c r="M26" s="141">
        <v>0</v>
      </c>
      <c r="N26" s="141">
        <v>18000</v>
      </c>
      <c r="O26" s="141" t="s">
        <v>4357</v>
      </c>
      <c r="P26" s="141" t="s">
        <v>4360</v>
      </c>
    </row>
    <row r="27" spans="1:16" ht="25.5">
      <c r="A27" s="141">
        <v>76807</v>
      </c>
      <c r="B27" s="141" t="s">
        <v>4325</v>
      </c>
      <c r="C27" s="142">
        <v>41201</v>
      </c>
      <c r="D27" s="141">
        <v>366</v>
      </c>
      <c r="E27" s="141" t="str">
        <f t="shared" si="0"/>
        <v>001</v>
      </c>
      <c r="F27" s="141" t="s">
        <v>4326</v>
      </c>
      <c r="G27" s="141" t="str">
        <f t="shared" si="3"/>
        <v>0043</v>
      </c>
      <c r="H27" s="141" t="s">
        <v>1519</v>
      </c>
      <c r="I27" s="141" t="str">
        <f t="shared" si="1"/>
        <v>999</v>
      </c>
      <c r="J27" s="141" t="s">
        <v>4327</v>
      </c>
      <c r="K27" s="141">
        <v>785</v>
      </c>
      <c r="L27" s="141">
        <v>6</v>
      </c>
      <c r="M27" s="141">
        <v>0</v>
      </c>
      <c r="N27" s="141">
        <v>23000</v>
      </c>
      <c r="O27" s="141" t="s">
        <v>4357</v>
      </c>
      <c r="P27" s="141" t="s">
        <v>4361</v>
      </c>
    </row>
    <row r="28" spans="1:16" ht="25.5">
      <c r="A28" s="141">
        <v>76807</v>
      </c>
      <c r="B28" s="141" t="s">
        <v>4325</v>
      </c>
      <c r="C28" s="142">
        <v>41201</v>
      </c>
      <c r="D28" s="141">
        <v>366</v>
      </c>
      <c r="E28" s="141" t="str">
        <f t="shared" si="0"/>
        <v>001</v>
      </c>
      <c r="F28" s="141" t="s">
        <v>4326</v>
      </c>
      <c r="G28" s="141" t="str">
        <f t="shared" si="3"/>
        <v>0043</v>
      </c>
      <c r="H28" s="141" t="s">
        <v>1519</v>
      </c>
      <c r="I28" s="141" t="str">
        <f t="shared" si="1"/>
        <v>999</v>
      </c>
      <c r="J28" s="141" t="s">
        <v>4327</v>
      </c>
      <c r="K28" s="141">
        <v>786</v>
      </c>
      <c r="L28" s="141">
        <v>5</v>
      </c>
      <c r="M28" s="141">
        <v>0</v>
      </c>
      <c r="N28" s="141">
        <v>22000</v>
      </c>
      <c r="O28" s="141" t="s">
        <v>4357</v>
      </c>
      <c r="P28" s="141" t="s">
        <v>4362</v>
      </c>
    </row>
    <row r="29" spans="1:16" ht="25.5">
      <c r="A29" s="141">
        <v>76807</v>
      </c>
      <c r="B29" s="141" t="s">
        <v>4325</v>
      </c>
      <c r="C29" s="142">
        <v>41201</v>
      </c>
      <c r="D29" s="141">
        <v>366</v>
      </c>
      <c r="E29" s="141" t="str">
        <f t="shared" si="0"/>
        <v>001</v>
      </c>
      <c r="F29" s="141" t="s">
        <v>4326</v>
      </c>
      <c r="G29" s="141" t="str">
        <f t="shared" si="3"/>
        <v>0043</v>
      </c>
      <c r="H29" s="141" t="s">
        <v>1519</v>
      </c>
      <c r="I29" s="141" t="str">
        <f t="shared" si="1"/>
        <v>999</v>
      </c>
      <c r="J29" s="141" t="s">
        <v>4327</v>
      </c>
      <c r="K29" s="141">
        <v>787</v>
      </c>
      <c r="L29" s="141">
        <v>3</v>
      </c>
      <c r="M29" s="141">
        <v>0</v>
      </c>
      <c r="N29" s="141">
        <v>5000</v>
      </c>
      <c r="O29" s="141" t="s">
        <v>4339</v>
      </c>
      <c r="P29" s="141" t="s">
        <v>4363</v>
      </c>
    </row>
    <row r="30" spans="1:16" ht="25.5">
      <c r="A30" s="141">
        <v>76807</v>
      </c>
      <c r="B30" s="141" t="s">
        <v>4325</v>
      </c>
      <c r="C30" s="142">
        <v>41201</v>
      </c>
      <c r="D30" s="141">
        <v>366</v>
      </c>
      <c r="E30" s="141" t="str">
        <f t="shared" si="0"/>
        <v>001</v>
      </c>
      <c r="F30" s="141" t="s">
        <v>4326</v>
      </c>
      <c r="G30" s="141" t="str">
        <f t="shared" si="3"/>
        <v>0043</v>
      </c>
      <c r="H30" s="141" t="s">
        <v>1519</v>
      </c>
      <c r="I30" s="141" t="str">
        <f t="shared" si="1"/>
        <v>999</v>
      </c>
      <c r="J30" s="141" t="s">
        <v>4327</v>
      </c>
      <c r="K30" s="141">
        <v>788</v>
      </c>
      <c r="L30" s="141">
        <v>1</v>
      </c>
      <c r="M30" s="141">
        <v>0</v>
      </c>
      <c r="N30" s="141">
        <v>3000</v>
      </c>
      <c r="O30" s="141" t="s">
        <v>4364</v>
      </c>
      <c r="P30" s="141" t="s">
        <v>4365</v>
      </c>
    </row>
    <row r="31" spans="1:16" ht="25.5">
      <c r="A31" s="141">
        <v>76807</v>
      </c>
      <c r="B31" s="141" t="s">
        <v>4325</v>
      </c>
      <c r="C31" s="142">
        <v>41201</v>
      </c>
      <c r="D31" s="141">
        <v>366</v>
      </c>
      <c r="E31" s="141" t="str">
        <f t="shared" si="0"/>
        <v>001</v>
      </c>
      <c r="F31" s="141" t="s">
        <v>4326</v>
      </c>
      <c r="G31" s="141" t="str">
        <f t="shared" si="3"/>
        <v>0043</v>
      </c>
      <c r="H31" s="141" t="s">
        <v>1519</v>
      </c>
      <c r="I31" s="141" t="str">
        <f t="shared" si="1"/>
        <v>999</v>
      </c>
      <c r="J31" s="141" t="s">
        <v>4327</v>
      </c>
      <c r="K31" s="141">
        <v>789</v>
      </c>
      <c r="L31" s="141">
        <v>1</v>
      </c>
      <c r="M31" s="141">
        <v>0</v>
      </c>
      <c r="N31" s="141">
        <v>112000</v>
      </c>
      <c r="O31" s="141" t="s">
        <v>4366</v>
      </c>
      <c r="P31" s="141" t="s">
        <v>4367</v>
      </c>
    </row>
    <row r="32" spans="1:16" ht="25.5">
      <c r="A32" s="141">
        <v>76807</v>
      </c>
      <c r="B32" s="141" t="s">
        <v>4325</v>
      </c>
      <c r="C32" s="142">
        <v>41201</v>
      </c>
      <c r="D32" s="141">
        <v>366</v>
      </c>
      <c r="E32" s="141" t="str">
        <f t="shared" si="0"/>
        <v>001</v>
      </c>
      <c r="F32" s="141" t="s">
        <v>4326</v>
      </c>
      <c r="G32" s="141" t="str">
        <f t="shared" si="3"/>
        <v>0043</v>
      </c>
      <c r="H32" s="141" t="s">
        <v>1519</v>
      </c>
      <c r="I32" s="141" t="str">
        <f t="shared" si="1"/>
        <v>999</v>
      </c>
      <c r="J32" s="141" t="s">
        <v>4327</v>
      </c>
      <c r="K32" s="141">
        <v>790</v>
      </c>
      <c r="L32" s="141">
        <v>1</v>
      </c>
      <c r="M32" s="141">
        <v>0</v>
      </c>
      <c r="N32" s="141">
        <v>4000</v>
      </c>
      <c r="O32" s="141" t="s">
        <v>4330</v>
      </c>
      <c r="P32" s="141" t="s">
        <v>4348</v>
      </c>
    </row>
    <row r="33" spans="1:16" ht="25.5">
      <c r="A33" s="141">
        <v>76807</v>
      </c>
      <c r="B33" s="141" t="s">
        <v>4325</v>
      </c>
      <c r="C33" s="142">
        <v>41201</v>
      </c>
      <c r="D33" s="141">
        <v>366</v>
      </c>
      <c r="E33" s="141" t="str">
        <f t="shared" si="0"/>
        <v>001</v>
      </c>
      <c r="F33" s="141" t="s">
        <v>4326</v>
      </c>
      <c r="G33" s="141" t="str">
        <f t="shared" si="3"/>
        <v>0043</v>
      </c>
      <c r="H33" s="141" t="s">
        <v>1519</v>
      </c>
      <c r="I33" s="141" t="str">
        <f t="shared" si="1"/>
        <v>999</v>
      </c>
      <c r="J33" s="141" t="s">
        <v>4327</v>
      </c>
      <c r="K33" s="141">
        <v>791</v>
      </c>
      <c r="L33" s="141">
        <v>1</v>
      </c>
      <c r="M33" s="141">
        <v>0</v>
      </c>
      <c r="N33" s="141">
        <v>54000</v>
      </c>
      <c r="O33" s="141" t="s">
        <v>4368</v>
      </c>
      <c r="P33" s="141"/>
    </row>
    <row r="34" spans="1:16" ht="25.5">
      <c r="A34" s="141">
        <v>76807</v>
      </c>
      <c r="B34" s="141" t="s">
        <v>4325</v>
      </c>
      <c r="C34" s="142">
        <v>41201</v>
      </c>
      <c r="D34" s="141">
        <v>366</v>
      </c>
      <c r="E34" s="141" t="str">
        <f t="shared" si="0"/>
        <v>001</v>
      </c>
      <c r="F34" s="141" t="s">
        <v>4326</v>
      </c>
      <c r="G34" s="141" t="str">
        <f t="shared" si="3"/>
        <v>0043</v>
      </c>
      <c r="H34" s="141" t="s">
        <v>1519</v>
      </c>
      <c r="I34" s="141" t="str">
        <f t="shared" si="1"/>
        <v>999</v>
      </c>
      <c r="J34" s="141" t="s">
        <v>4327</v>
      </c>
      <c r="K34" s="141">
        <v>792</v>
      </c>
      <c r="L34" s="141">
        <v>1</v>
      </c>
      <c r="M34" s="141">
        <v>0</v>
      </c>
      <c r="N34" s="141">
        <v>7000</v>
      </c>
      <c r="O34" s="141" t="s">
        <v>4369</v>
      </c>
      <c r="P34" s="141" t="s">
        <v>4370</v>
      </c>
    </row>
    <row r="35" spans="1:16" ht="25.5">
      <c r="A35" s="141">
        <v>76807</v>
      </c>
      <c r="B35" s="141" t="s">
        <v>4325</v>
      </c>
      <c r="C35" s="142">
        <v>41201</v>
      </c>
      <c r="D35" s="141">
        <v>366</v>
      </c>
      <c r="E35" s="141" t="str">
        <f t="shared" si="0"/>
        <v>001</v>
      </c>
      <c r="F35" s="141" t="s">
        <v>4326</v>
      </c>
      <c r="G35" s="141" t="str">
        <f t="shared" si="3"/>
        <v>0043</v>
      </c>
      <c r="H35" s="141" t="s">
        <v>1519</v>
      </c>
      <c r="I35" s="141" t="str">
        <f t="shared" si="1"/>
        <v>999</v>
      </c>
      <c r="J35" s="141" t="s">
        <v>4327</v>
      </c>
      <c r="K35" s="141">
        <v>793</v>
      </c>
      <c r="L35" s="141">
        <v>1</v>
      </c>
      <c r="M35" s="141">
        <v>0</v>
      </c>
      <c r="N35" s="141">
        <v>2000</v>
      </c>
      <c r="O35" s="141" t="s">
        <v>4345</v>
      </c>
      <c r="P35" s="141"/>
    </row>
    <row r="36" spans="1:16" ht="25.5">
      <c r="A36" s="141">
        <v>76807</v>
      </c>
      <c r="B36" s="141" t="s">
        <v>4325</v>
      </c>
      <c r="C36" s="142">
        <v>41201</v>
      </c>
      <c r="D36" s="141">
        <v>366</v>
      </c>
      <c r="E36" s="141" t="str">
        <f t="shared" si="0"/>
        <v>001</v>
      </c>
      <c r="F36" s="141" t="s">
        <v>4326</v>
      </c>
      <c r="G36" s="141" t="str">
        <f t="shared" si="3"/>
        <v>0043</v>
      </c>
      <c r="H36" s="141" t="s">
        <v>1519</v>
      </c>
      <c r="I36" s="141" t="str">
        <f t="shared" si="1"/>
        <v>999</v>
      </c>
      <c r="J36" s="141" t="s">
        <v>4327</v>
      </c>
      <c r="K36" s="141">
        <v>794</v>
      </c>
      <c r="L36" s="141">
        <v>1</v>
      </c>
      <c r="M36" s="141">
        <v>0</v>
      </c>
      <c r="N36" s="141">
        <v>4000</v>
      </c>
      <c r="O36" s="141" t="s">
        <v>4371</v>
      </c>
      <c r="P36" s="141" t="s">
        <v>4372</v>
      </c>
    </row>
    <row r="37" spans="1:16" ht="25.5">
      <c r="A37" s="141">
        <v>76807</v>
      </c>
      <c r="B37" s="141" t="s">
        <v>4325</v>
      </c>
      <c r="C37" s="142">
        <v>41201</v>
      </c>
      <c r="D37" s="141">
        <v>366</v>
      </c>
      <c r="E37" s="141" t="str">
        <f t="shared" si="0"/>
        <v>001</v>
      </c>
      <c r="F37" s="141" t="s">
        <v>4326</v>
      </c>
      <c r="G37" s="141" t="str">
        <f t="shared" si="3"/>
        <v>0043</v>
      </c>
      <c r="H37" s="141" t="s">
        <v>1519</v>
      </c>
      <c r="I37" s="141" t="str">
        <f t="shared" si="1"/>
        <v>999</v>
      </c>
      <c r="J37" s="141" t="s">
        <v>4327</v>
      </c>
      <c r="K37" s="141">
        <v>795</v>
      </c>
      <c r="L37" s="141">
        <v>1</v>
      </c>
      <c r="M37" s="141">
        <v>0</v>
      </c>
      <c r="N37" s="141">
        <v>4000</v>
      </c>
      <c r="O37" s="141" t="s">
        <v>4371</v>
      </c>
      <c r="P37" s="141" t="s">
        <v>4372</v>
      </c>
    </row>
    <row r="38" spans="1:16" ht="25.5">
      <c r="A38" s="141">
        <v>76807</v>
      </c>
      <c r="B38" s="141" t="s">
        <v>4325</v>
      </c>
      <c r="C38" s="142">
        <v>41201</v>
      </c>
      <c r="D38" s="141">
        <v>1174</v>
      </c>
      <c r="E38" s="141" t="str">
        <f t="shared" si="0"/>
        <v>001</v>
      </c>
      <c r="F38" s="141" t="s">
        <v>4326</v>
      </c>
      <c r="G38" s="141" t="str">
        <f t="shared" ref="G38:G44" si="4">"0047"</f>
        <v>0047</v>
      </c>
      <c r="H38" s="141" t="s">
        <v>1087</v>
      </c>
      <c r="I38" s="141" t="str">
        <f t="shared" si="1"/>
        <v>999</v>
      </c>
      <c r="J38" s="141" t="s">
        <v>4327</v>
      </c>
      <c r="K38" s="141">
        <v>3072</v>
      </c>
      <c r="L38" s="141">
        <v>1</v>
      </c>
      <c r="M38" s="141">
        <v>0</v>
      </c>
      <c r="N38" s="141">
        <v>13000</v>
      </c>
      <c r="O38" s="141" t="s">
        <v>4373</v>
      </c>
      <c r="P38" s="141" t="s">
        <v>4374</v>
      </c>
    </row>
    <row r="39" spans="1:16" ht="25.5">
      <c r="A39" s="141">
        <v>76807</v>
      </c>
      <c r="B39" s="141" t="s">
        <v>4325</v>
      </c>
      <c r="C39" s="142">
        <v>41201</v>
      </c>
      <c r="D39" s="141">
        <v>1174</v>
      </c>
      <c r="E39" s="141" t="str">
        <f t="shared" si="0"/>
        <v>001</v>
      </c>
      <c r="F39" s="141" t="s">
        <v>4326</v>
      </c>
      <c r="G39" s="141" t="str">
        <f t="shared" si="4"/>
        <v>0047</v>
      </c>
      <c r="H39" s="141" t="s">
        <v>1087</v>
      </c>
      <c r="I39" s="141" t="str">
        <f t="shared" si="1"/>
        <v>999</v>
      </c>
      <c r="J39" s="141" t="s">
        <v>4327</v>
      </c>
      <c r="K39" s="141">
        <v>3073</v>
      </c>
      <c r="L39" s="141">
        <v>1</v>
      </c>
      <c r="M39" s="141">
        <v>0</v>
      </c>
      <c r="N39" s="141">
        <v>55000</v>
      </c>
      <c r="O39" s="141" t="s">
        <v>4375</v>
      </c>
      <c r="P39" s="141" t="s">
        <v>4376</v>
      </c>
    </row>
    <row r="40" spans="1:16" ht="25.5">
      <c r="A40" s="141">
        <v>76807</v>
      </c>
      <c r="B40" s="141" t="s">
        <v>4325</v>
      </c>
      <c r="C40" s="142">
        <v>41201</v>
      </c>
      <c r="D40" s="141">
        <v>1174</v>
      </c>
      <c r="E40" s="141" t="str">
        <f t="shared" si="0"/>
        <v>001</v>
      </c>
      <c r="F40" s="141" t="s">
        <v>4326</v>
      </c>
      <c r="G40" s="141" t="str">
        <f t="shared" si="4"/>
        <v>0047</v>
      </c>
      <c r="H40" s="141" t="s">
        <v>1087</v>
      </c>
      <c r="I40" s="141" t="str">
        <f t="shared" si="1"/>
        <v>999</v>
      </c>
      <c r="J40" s="141" t="s">
        <v>4327</v>
      </c>
      <c r="K40" s="141">
        <v>3074</v>
      </c>
      <c r="L40" s="141">
        <v>1</v>
      </c>
      <c r="M40" s="141">
        <v>0</v>
      </c>
      <c r="N40" s="141">
        <v>14000</v>
      </c>
      <c r="O40" s="141" t="s">
        <v>4377</v>
      </c>
      <c r="P40" s="141" t="s">
        <v>4378</v>
      </c>
    </row>
    <row r="41" spans="1:16" ht="25.5">
      <c r="A41" s="141">
        <v>76807</v>
      </c>
      <c r="B41" s="141" t="s">
        <v>4325</v>
      </c>
      <c r="C41" s="142">
        <v>41201</v>
      </c>
      <c r="D41" s="141">
        <v>1174</v>
      </c>
      <c r="E41" s="141" t="str">
        <f t="shared" si="0"/>
        <v>001</v>
      </c>
      <c r="F41" s="141" t="s">
        <v>4326</v>
      </c>
      <c r="G41" s="141" t="str">
        <f t="shared" si="4"/>
        <v>0047</v>
      </c>
      <c r="H41" s="141" t="s">
        <v>1087</v>
      </c>
      <c r="I41" s="141" t="str">
        <f t="shared" si="1"/>
        <v>999</v>
      </c>
      <c r="J41" s="141" t="s">
        <v>4327</v>
      </c>
      <c r="K41" s="141">
        <v>3075</v>
      </c>
      <c r="L41" s="141">
        <v>1</v>
      </c>
      <c r="M41" s="141">
        <v>0</v>
      </c>
      <c r="N41" s="141">
        <v>1000</v>
      </c>
      <c r="O41" s="141" t="s">
        <v>4343</v>
      </c>
      <c r="P41" s="141"/>
    </row>
    <row r="42" spans="1:16" ht="25.5">
      <c r="A42" s="141">
        <v>76807</v>
      </c>
      <c r="B42" s="141" t="s">
        <v>4325</v>
      </c>
      <c r="C42" s="142">
        <v>41201</v>
      </c>
      <c r="D42" s="141">
        <v>1174</v>
      </c>
      <c r="E42" s="141" t="str">
        <f t="shared" si="0"/>
        <v>001</v>
      </c>
      <c r="F42" s="141" t="s">
        <v>4326</v>
      </c>
      <c r="G42" s="141" t="str">
        <f t="shared" si="4"/>
        <v>0047</v>
      </c>
      <c r="H42" s="141" t="s">
        <v>1087</v>
      </c>
      <c r="I42" s="141" t="str">
        <f t="shared" si="1"/>
        <v>999</v>
      </c>
      <c r="J42" s="141" t="s">
        <v>4327</v>
      </c>
      <c r="K42" s="141">
        <v>3076</v>
      </c>
      <c r="L42" s="141">
        <v>8</v>
      </c>
      <c r="M42" s="141">
        <v>0</v>
      </c>
      <c r="N42" s="141">
        <v>4000</v>
      </c>
      <c r="O42" s="141" t="s">
        <v>4350</v>
      </c>
      <c r="P42" s="141"/>
    </row>
    <row r="43" spans="1:16" ht="25.5">
      <c r="A43" s="141">
        <v>76807</v>
      </c>
      <c r="B43" s="141" t="s">
        <v>4325</v>
      </c>
      <c r="C43" s="142">
        <v>41201</v>
      </c>
      <c r="D43" s="141">
        <v>1174</v>
      </c>
      <c r="E43" s="141" t="str">
        <f t="shared" si="0"/>
        <v>001</v>
      </c>
      <c r="F43" s="141" t="s">
        <v>4326</v>
      </c>
      <c r="G43" s="141" t="str">
        <f t="shared" si="4"/>
        <v>0047</v>
      </c>
      <c r="H43" s="141" t="s">
        <v>1087</v>
      </c>
      <c r="I43" s="141" t="str">
        <f t="shared" si="1"/>
        <v>999</v>
      </c>
      <c r="J43" s="141" t="s">
        <v>4327</v>
      </c>
      <c r="K43" s="141">
        <v>3077</v>
      </c>
      <c r="L43" s="141">
        <v>1</v>
      </c>
      <c r="M43" s="141">
        <v>0</v>
      </c>
      <c r="N43" s="141">
        <v>4000</v>
      </c>
      <c r="O43" s="141" t="s">
        <v>4330</v>
      </c>
      <c r="P43" s="141" t="s">
        <v>4348</v>
      </c>
    </row>
    <row r="44" spans="1:16" ht="25.5">
      <c r="A44" s="141">
        <v>76807</v>
      </c>
      <c r="B44" s="141" t="s">
        <v>4325</v>
      </c>
      <c r="C44" s="142">
        <v>41201</v>
      </c>
      <c r="D44" s="141">
        <v>1174</v>
      </c>
      <c r="E44" s="141" t="str">
        <f t="shared" si="0"/>
        <v>001</v>
      </c>
      <c r="F44" s="141" t="s">
        <v>4326</v>
      </c>
      <c r="G44" s="141" t="str">
        <f t="shared" si="4"/>
        <v>0047</v>
      </c>
      <c r="H44" s="141" t="s">
        <v>1087</v>
      </c>
      <c r="I44" s="141" t="str">
        <f t="shared" si="1"/>
        <v>999</v>
      </c>
      <c r="J44" s="141" t="s">
        <v>4327</v>
      </c>
      <c r="K44" s="141">
        <v>3078</v>
      </c>
      <c r="L44" s="141">
        <v>15</v>
      </c>
      <c r="M44" s="141">
        <v>0</v>
      </c>
      <c r="N44" s="141">
        <v>34000</v>
      </c>
      <c r="O44" s="141" t="s">
        <v>4334</v>
      </c>
      <c r="P44" s="141" t="s">
        <v>4340</v>
      </c>
    </row>
    <row r="45" spans="1:16" ht="25.5">
      <c r="A45" s="141">
        <v>76807</v>
      </c>
      <c r="B45" s="141" t="s">
        <v>4325</v>
      </c>
      <c r="C45" s="142">
        <v>41201</v>
      </c>
      <c r="D45" s="141">
        <v>436</v>
      </c>
      <c r="E45" s="141" t="str">
        <f t="shared" si="0"/>
        <v>001</v>
      </c>
      <c r="F45" s="141" t="s">
        <v>4326</v>
      </c>
      <c r="G45" s="141" t="str">
        <f t="shared" ref="G45:G50" si="5">"0048"</f>
        <v>0048</v>
      </c>
      <c r="H45" s="141" t="s">
        <v>1612</v>
      </c>
      <c r="I45" s="141" t="str">
        <f t="shared" si="1"/>
        <v>999</v>
      </c>
      <c r="J45" s="141" t="s">
        <v>4327</v>
      </c>
      <c r="K45" s="141">
        <v>1272</v>
      </c>
      <c r="L45" s="141">
        <v>1</v>
      </c>
      <c r="M45" s="141">
        <v>0</v>
      </c>
      <c r="N45" s="141">
        <v>1000</v>
      </c>
      <c r="O45" s="141" t="s">
        <v>4330</v>
      </c>
      <c r="P45" s="141" t="s">
        <v>4379</v>
      </c>
    </row>
    <row r="46" spans="1:16" ht="25.5">
      <c r="A46" s="141">
        <v>76807</v>
      </c>
      <c r="B46" s="141" t="s">
        <v>4325</v>
      </c>
      <c r="C46" s="142">
        <v>41201</v>
      </c>
      <c r="D46" s="141">
        <v>436</v>
      </c>
      <c r="E46" s="141" t="str">
        <f t="shared" si="0"/>
        <v>001</v>
      </c>
      <c r="F46" s="141" t="s">
        <v>4326</v>
      </c>
      <c r="G46" s="141" t="str">
        <f t="shared" si="5"/>
        <v>0048</v>
      </c>
      <c r="H46" s="141" t="s">
        <v>1612</v>
      </c>
      <c r="I46" s="141" t="str">
        <f t="shared" si="1"/>
        <v>999</v>
      </c>
      <c r="J46" s="141" t="s">
        <v>4327</v>
      </c>
      <c r="K46" s="141">
        <v>1273</v>
      </c>
      <c r="L46" s="141">
        <v>1</v>
      </c>
      <c r="M46" s="141">
        <v>0</v>
      </c>
      <c r="N46" s="141">
        <v>4000</v>
      </c>
      <c r="O46" s="141" t="s">
        <v>4380</v>
      </c>
      <c r="P46" s="141" t="s">
        <v>4354</v>
      </c>
    </row>
    <row r="47" spans="1:16" ht="25.5">
      <c r="A47" s="141">
        <v>76807</v>
      </c>
      <c r="B47" s="141" t="s">
        <v>4325</v>
      </c>
      <c r="C47" s="142">
        <v>41201</v>
      </c>
      <c r="D47" s="141">
        <v>436</v>
      </c>
      <c r="E47" s="141" t="str">
        <f t="shared" si="0"/>
        <v>001</v>
      </c>
      <c r="F47" s="141" t="s">
        <v>4326</v>
      </c>
      <c r="G47" s="141" t="str">
        <f t="shared" si="5"/>
        <v>0048</v>
      </c>
      <c r="H47" s="141" t="s">
        <v>1612</v>
      </c>
      <c r="I47" s="141" t="str">
        <f t="shared" si="1"/>
        <v>999</v>
      </c>
      <c r="J47" s="141" t="s">
        <v>4327</v>
      </c>
      <c r="K47" s="141">
        <v>1274</v>
      </c>
      <c r="L47" s="141">
        <v>1</v>
      </c>
      <c r="M47" s="141">
        <v>0</v>
      </c>
      <c r="N47" s="141">
        <v>4000</v>
      </c>
      <c r="O47" s="141" t="s">
        <v>4380</v>
      </c>
      <c r="P47" s="141" t="s">
        <v>4354</v>
      </c>
    </row>
    <row r="48" spans="1:16" ht="25.5">
      <c r="A48" s="141">
        <v>76807</v>
      </c>
      <c r="B48" s="141" t="s">
        <v>4325</v>
      </c>
      <c r="C48" s="142">
        <v>41201</v>
      </c>
      <c r="D48" s="141">
        <v>436</v>
      </c>
      <c r="E48" s="141" t="str">
        <f t="shared" si="0"/>
        <v>001</v>
      </c>
      <c r="F48" s="141" t="s">
        <v>4326</v>
      </c>
      <c r="G48" s="141" t="str">
        <f t="shared" si="5"/>
        <v>0048</v>
      </c>
      <c r="H48" s="141" t="s">
        <v>1612</v>
      </c>
      <c r="I48" s="141" t="str">
        <f t="shared" si="1"/>
        <v>999</v>
      </c>
      <c r="J48" s="141" t="s">
        <v>4327</v>
      </c>
      <c r="K48" s="141">
        <v>1275</v>
      </c>
      <c r="L48" s="141">
        <v>6</v>
      </c>
      <c r="M48" s="141">
        <v>0</v>
      </c>
      <c r="N48" s="141">
        <v>4000</v>
      </c>
      <c r="O48" s="141" t="s">
        <v>4343</v>
      </c>
      <c r="P48" s="141"/>
    </row>
    <row r="49" spans="1:16" ht="25.5">
      <c r="A49" s="141">
        <v>76807</v>
      </c>
      <c r="B49" s="141" t="s">
        <v>4325</v>
      </c>
      <c r="C49" s="142">
        <v>41201</v>
      </c>
      <c r="D49" s="141">
        <v>436</v>
      </c>
      <c r="E49" s="141" t="str">
        <f t="shared" si="0"/>
        <v>001</v>
      </c>
      <c r="F49" s="141" t="s">
        <v>4326</v>
      </c>
      <c r="G49" s="141" t="str">
        <f t="shared" si="5"/>
        <v>0048</v>
      </c>
      <c r="H49" s="141" t="s">
        <v>1612</v>
      </c>
      <c r="I49" s="141" t="str">
        <f t="shared" si="1"/>
        <v>999</v>
      </c>
      <c r="J49" s="141" t="s">
        <v>4327</v>
      </c>
      <c r="K49" s="141">
        <v>1276</v>
      </c>
      <c r="L49" s="141">
        <v>2</v>
      </c>
      <c r="M49" s="141">
        <v>0</v>
      </c>
      <c r="N49" s="141">
        <v>1000</v>
      </c>
      <c r="O49" s="141" t="s">
        <v>4350</v>
      </c>
      <c r="P49" s="141"/>
    </row>
    <row r="50" spans="1:16" ht="25.5">
      <c r="A50" s="141">
        <v>76807</v>
      </c>
      <c r="B50" s="141" t="s">
        <v>4325</v>
      </c>
      <c r="C50" s="142">
        <v>41201</v>
      </c>
      <c r="D50" s="141">
        <v>436</v>
      </c>
      <c r="E50" s="141" t="str">
        <f t="shared" si="0"/>
        <v>001</v>
      </c>
      <c r="F50" s="141" t="s">
        <v>4326</v>
      </c>
      <c r="G50" s="141" t="str">
        <f t="shared" si="5"/>
        <v>0048</v>
      </c>
      <c r="H50" s="141" t="s">
        <v>1612</v>
      </c>
      <c r="I50" s="141" t="str">
        <f t="shared" si="1"/>
        <v>999</v>
      </c>
      <c r="J50" s="141" t="s">
        <v>4327</v>
      </c>
      <c r="K50" s="141">
        <v>1277</v>
      </c>
      <c r="L50" s="141">
        <v>1</v>
      </c>
      <c r="M50" s="141">
        <v>0</v>
      </c>
      <c r="N50" s="141">
        <v>1000</v>
      </c>
      <c r="O50" s="141" t="s">
        <v>4381</v>
      </c>
      <c r="P50" s="141"/>
    </row>
    <row r="51" spans="1:16" ht="25.5">
      <c r="A51" s="141">
        <v>76807</v>
      </c>
      <c r="B51" s="141" t="s">
        <v>4325</v>
      </c>
      <c r="C51" s="142">
        <v>41201</v>
      </c>
      <c r="D51" s="141">
        <v>707</v>
      </c>
      <c r="E51" s="141" t="str">
        <f t="shared" si="0"/>
        <v>001</v>
      </c>
      <c r="F51" s="141" t="s">
        <v>4326</v>
      </c>
      <c r="G51" s="141" t="str">
        <f>"0049"</f>
        <v>0049</v>
      </c>
      <c r="H51" s="141" t="s">
        <v>2521</v>
      </c>
      <c r="I51" s="141" t="str">
        <f t="shared" si="1"/>
        <v>999</v>
      </c>
      <c r="J51" s="141" t="s">
        <v>4327</v>
      </c>
      <c r="K51" s="141">
        <v>1995</v>
      </c>
      <c r="L51" s="141">
        <v>1</v>
      </c>
      <c r="M51" s="141">
        <v>0</v>
      </c>
      <c r="N51" s="141">
        <v>11000</v>
      </c>
      <c r="O51" s="141" t="s">
        <v>4382</v>
      </c>
      <c r="P51" s="141" t="s">
        <v>4383</v>
      </c>
    </row>
    <row r="52" spans="1:16" ht="25.5">
      <c r="A52" s="141">
        <v>76807</v>
      </c>
      <c r="B52" s="141" t="s">
        <v>4325</v>
      </c>
      <c r="C52" s="142">
        <v>41201</v>
      </c>
      <c r="D52" s="141">
        <v>707</v>
      </c>
      <c r="E52" s="141" t="str">
        <f t="shared" si="0"/>
        <v>001</v>
      </c>
      <c r="F52" s="141" t="s">
        <v>4326</v>
      </c>
      <c r="G52" s="141" t="str">
        <f>"0049"</f>
        <v>0049</v>
      </c>
      <c r="H52" s="141" t="s">
        <v>2521</v>
      </c>
      <c r="I52" s="141" t="str">
        <f t="shared" si="1"/>
        <v>999</v>
      </c>
      <c r="J52" s="141" t="s">
        <v>4327</v>
      </c>
      <c r="K52" s="141">
        <v>1996</v>
      </c>
      <c r="L52" s="141">
        <v>5</v>
      </c>
      <c r="M52" s="141">
        <v>0</v>
      </c>
      <c r="N52" s="141">
        <v>12000</v>
      </c>
      <c r="O52" s="141" t="s">
        <v>4339</v>
      </c>
      <c r="P52" s="141" t="s">
        <v>4340</v>
      </c>
    </row>
    <row r="53" spans="1:16" ht="25.5">
      <c r="A53" s="141">
        <v>76807</v>
      </c>
      <c r="B53" s="141" t="s">
        <v>4325</v>
      </c>
      <c r="C53" s="142">
        <v>41201</v>
      </c>
      <c r="D53" s="141">
        <v>707</v>
      </c>
      <c r="E53" s="141" t="str">
        <f t="shared" si="0"/>
        <v>001</v>
      </c>
      <c r="F53" s="141" t="s">
        <v>4326</v>
      </c>
      <c r="G53" s="141" t="str">
        <f>"0049"</f>
        <v>0049</v>
      </c>
      <c r="H53" s="141" t="s">
        <v>2521</v>
      </c>
      <c r="I53" s="141" t="str">
        <f t="shared" si="1"/>
        <v>999</v>
      </c>
      <c r="J53" s="141" t="s">
        <v>4327</v>
      </c>
      <c r="K53" s="141">
        <v>1997</v>
      </c>
      <c r="L53" s="141">
        <v>3</v>
      </c>
      <c r="M53" s="141">
        <v>0</v>
      </c>
      <c r="N53" s="141">
        <v>11000</v>
      </c>
      <c r="O53" s="141" t="s">
        <v>4339</v>
      </c>
      <c r="P53" s="141" t="s">
        <v>4384</v>
      </c>
    </row>
    <row r="54" spans="1:16" ht="25.5">
      <c r="A54" s="141">
        <v>76807</v>
      </c>
      <c r="B54" s="141" t="s">
        <v>4325</v>
      </c>
      <c r="C54" s="142">
        <v>41201</v>
      </c>
      <c r="D54" s="141">
        <v>707</v>
      </c>
      <c r="E54" s="141" t="str">
        <f t="shared" si="0"/>
        <v>001</v>
      </c>
      <c r="F54" s="141" t="s">
        <v>4326</v>
      </c>
      <c r="G54" s="141" t="str">
        <f>"0049"</f>
        <v>0049</v>
      </c>
      <c r="H54" s="141" t="s">
        <v>2521</v>
      </c>
      <c r="I54" s="141" t="str">
        <f t="shared" si="1"/>
        <v>999</v>
      </c>
      <c r="J54" s="141" t="s">
        <v>4327</v>
      </c>
      <c r="K54" s="141">
        <v>1998</v>
      </c>
      <c r="L54" s="141">
        <v>2</v>
      </c>
      <c r="M54" s="141">
        <v>0</v>
      </c>
      <c r="N54" s="141">
        <v>5000</v>
      </c>
      <c r="O54" s="141" t="s">
        <v>4339</v>
      </c>
      <c r="P54" s="141" t="s">
        <v>4385</v>
      </c>
    </row>
    <row r="55" spans="1:16" ht="25.5">
      <c r="A55" s="141">
        <v>76807</v>
      </c>
      <c r="B55" s="141" t="s">
        <v>4325</v>
      </c>
      <c r="C55" s="142">
        <v>41201</v>
      </c>
      <c r="D55" s="141">
        <v>707</v>
      </c>
      <c r="E55" s="141" t="str">
        <f t="shared" si="0"/>
        <v>001</v>
      </c>
      <c r="F55" s="141" t="s">
        <v>4326</v>
      </c>
      <c r="G55" s="141" t="str">
        <f>"0049"</f>
        <v>0049</v>
      </c>
      <c r="H55" s="141" t="s">
        <v>2521</v>
      </c>
      <c r="I55" s="141" t="str">
        <f t="shared" si="1"/>
        <v>999</v>
      </c>
      <c r="J55" s="141" t="s">
        <v>4327</v>
      </c>
      <c r="K55" s="141">
        <v>1999</v>
      </c>
      <c r="L55" s="141">
        <v>1</v>
      </c>
      <c r="M55" s="141">
        <v>0</v>
      </c>
      <c r="N55" s="141">
        <v>4000</v>
      </c>
      <c r="O55" s="141" t="s">
        <v>4330</v>
      </c>
      <c r="P55" s="141" t="s">
        <v>4348</v>
      </c>
    </row>
    <row r="56" spans="1:16" ht="25.5">
      <c r="A56" s="141">
        <v>76807</v>
      </c>
      <c r="B56" s="141" t="s">
        <v>4325</v>
      </c>
      <c r="C56" s="142">
        <v>41201</v>
      </c>
      <c r="D56" s="141">
        <v>731</v>
      </c>
      <c r="E56" s="141" t="str">
        <f t="shared" si="0"/>
        <v>001</v>
      </c>
      <c r="F56" s="141" t="s">
        <v>4326</v>
      </c>
      <c r="G56" s="141" t="str">
        <f t="shared" ref="G56:G95" si="6">"0050"</f>
        <v>0050</v>
      </c>
      <c r="H56" s="141" t="s">
        <v>2645</v>
      </c>
      <c r="I56" s="141" t="str">
        <f t="shared" si="1"/>
        <v>999</v>
      </c>
      <c r="J56" s="141" t="s">
        <v>4327</v>
      </c>
      <c r="K56" s="141">
        <v>2261</v>
      </c>
      <c r="L56" s="141">
        <v>1</v>
      </c>
      <c r="M56" s="141">
        <v>0</v>
      </c>
      <c r="N56" s="141">
        <v>19000</v>
      </c>
      <c r="O56" s="141" t="s">
        <v>4351</v>
      </c>
      <c r="P56" s="141" t="s">
        <v>4386</v>
      </c>
    </row>
    <row r="57" spans="1:16" ht="25.5">
      <c r="A57" s="141">
        <v>76807</v>
      </c>
      <c r="B57" s="141" t="s">
        <v>4325</v>
      </c>
      <c r="C57" s="142">
        <v>41201</v>
      </c>
      <c r="D57" s="141">
        <v>731</v>
      </c>
      <c r="E57" s="141" t="str">
        <f t="shared" si="0"/>
        <v>001</v>
      </c>
      <c r="F57" s="141" t="s">
        <v>4326</v>
      </c>
      <c r="G57" s="141" t="str">
        <f t="shared" si="6"/>
        <v>0050</v>
      </c>
      <c r="H57" s="141" t="s">
        <v>2645</v>
      </c>
      <c r="I57" s="141" t="str">
        <f t="shared" si="1"/>
        <v>999</v>
      </c>
      <c r="J57" s="141" t="s">
        <v>4327</v>
      </c>
      <c r="K57" s="141">
        <v>2262</v>
      </c>
      <c r="L57" s="141">
        <v>1</v>
      </c>
      <c r="M57" s="141">
        <v>0</v>
      </c>
      <c r="N57" s="141">
        <v>12000</v>
      </c>
      <c r="O57" s="141" t="s">
        <v>4337</v>
      </c>
      <c r="P57" s="141" t="s">
        <v>4387</v>
      </c>
    </row>
    <row r="58" spans="1:16" ht="25.5">
      <c r="A58" s="141">
        <v>76807</v>
      </c>
      <c r="B58" s="141" t="s">
        <v>4325</v>
      </c>
      <c r="C58" s="142">
        <v>41201</v>
      </c>
      <c r="D58" s="141">
        <v>731</v>
      </c>
      <c r="E58" s="141" t="str">
        <f t="shared" si="0"/>
        <v>001</v>
      </c>
      <c r="F58" s="141" t="s">
        <v>4326</v>
      </c>
      <c r="G58" s="141" t="str">
        <f t="shared" si="6"/>
        <v>0050</v>
      </c>
      <c r="H58" s="141" t="s">
        <v>2645</v>
      </c>
      <c r="I58" s="141" t="str">
        <f t="shared" si="1"/>
        <v>999</v>
      </c>
      <c r="J58" s="141" t="s">
        <v>4327</v>
      </c>
      <c r="K58" s="141">
        <v>2263</v>
      </c>
      <c r="L58" s="141">
        <v>1</v>
      </c>
      <c r="M58" s="141">
        <v>0</v>
      </c>
      <c r="N58" s="141">
        <v>5000</v>
      </c>
      <c r="O58" s="141" t="s">
        <v>4388</v>
      </c>
      <c r="P58" s="141" t="s">
        <v>4389</v>
      </c>
    </row>
    <row r="59" spans="1:16" ht="25.5">
      <c r="A59" s="141">
        <v>76807</v>
      </c>
      <c r="B59" s="141" t="s">
        <v>4325</v>
      </c>
      <c r="C59" s="142">
        <v>41201</v>
      </c>
      <c r="D59" s="141">
        <v>731</v>
      </c>
      <c r="E59" s="141" t="str">
        <f t="shared" si="0"/>
        <v>001</v>
      </c>
      <c r="F59" s="141" t="s">
        <v>4326</v>
      </c>
      <c r="G59" s="141" t="str">
        <f t="shared" si="6"/>
        <v>0050</v>
      </c>
      <c r="H59" s="141" t="s">
        <v>2645</v>
      </c>
      <c r="I59" s="141" t="str">
        <f t="shared" si="1"/>
        <v>999</v>
      </c>
      <c r="J59" s="141" t="s">
        <v>4327</v>
      </c>
      <c r="K59" s="141">
        <v>2264</v>
      </c>
      <c r="L59" s="141">
        <v>1</v>
      </c>
      <c r="M59" s="141">
        <v>0</v>
      </c>
      <c r="N59" s="141">
        <v>4000</v>
      </c>
      <c r="O59" s="141" t="s">
        <v>4388</v>
      </c>
      <c r="P59" s="141" t="s">
        <v>4390</v>
      </c>
    </row>
    <row r="60" spans="1:16" ht="25.5">
      <c r="A60" s="141">
        <v>76807</v>
      </c>
      <c r="B60" s="141" t="s">
        <v>4325</v>
      </c>
      <c r="C60" s="142">
        <v>41201</v>
      </c>
      <c r="D60" s="141">
        <v>731</v>
      </c>
      <c r="E60" s="141" t="str">
        <f t="shared" si="0"/>
        <v>001</v>
      </c>
      <c r="F60" s="141" t="s">
        <v>4326</v>
      </c>
      <c r="G60" s="141" t="str">
        <f t="shared" si="6"/>
        <v>0050</v>
      </c>
      <c r="H60" s="141" t="s">
        <v>2645</v>
      </c>
      <c r="I60" s="141" t="str">
        <f t="shared" si="1"/>
        <v>999</v>
      </c>
      <c r="J60" s="141" t="s">
        <v>4327</v>
      </c>
      <c r="K60" s="141">
        <v>2265</v>
      </c>
      <c r="L60" s="141">
        <v>1</v>
      </c>
      <c r="M60" s="141">
        <v>0</v>
      </c>
      <c r="N60" s="141">
        <v>4000</v>
      </c>
      <c r="O60" s="141" t="s">
        <v>4330</v>
      </c>
      <c r="P60" s="141" t="s">
        <v>4348</v>
      </c>
    </row>
    <row r="61" spans="1:16" ht="25.5">
      <c r="A61" s="141">
        <v>76807</v>
      </c>
      <c r="B61" s="141" t="s">
        <v>4325</v>
      </c>
      <c r="C61" s="142">
        <v>41201</v>
      </c>
      <c r="D61" s="141">
        <v>731</v>
      </c>
      <c r="E61" s="141" t="str">
        <f t="shared" si="0"/>
        <v>001</v>
      </c>
      <c r="F61" s="141" t="s">
        <v>4326</v>
      </c>
      <c r="G61" s="141" t="str">
        <f t="shared" si="6"/>
        <v>0050</v>
      </c>
      <c r="H61" s="141" t="s">
        <v>2645</v>
      </c>
      <c r="I61" s="141" t="str">
        <f t="shared" si="1"/>
        <v>999</v>
      </c>
      <c r="J61" s="141" t="s">
        <v>4327</v>
      </c>
      <c r="K61" s="141">
        <v>2266</v>
      </c>
      <c r="L61" s="141">
        <v>5</v>
      </c>
      <c r="M61" s="141">
        <v>0</v>
      </c>
      <c r="N61" s="141">
        <v>57000</v>
      </c>
      <c r="O61" s="141" t="s">
        <v>4357</v>
      </c>
      <c r="P61" s="141" t="s">
        <v>4391</v>
      </c>
    </row>
    <row r="62" spans="1:16" ht="25.5">
      <c r="A62" s="141">
        <v>76807</v>
      </c>
      <c r="B62" s="141" t="s">
        <v>4325</v>
      </c>
      <c r="C62" s="142">
        <v>41201</v>
      </c>
      <c r="D62" s="141">
        <v>731</v>
      </c>
      <c r="E62" s="141" t="str">
        <f t="shared" si="0"/>
        <v>001</v>
      </c>
      <c r="F62" s="141" t="s">
        <v>4326</v>
      </c>
      <c r="G62" s="141" t="str">
        <f t="shared" si="6"/>
        <v>0050</v>
      </c>
      <c r="H62" s="141" t="s">
        <v>2645</v>
      </c>
      <c r="I62" s="141" t="str">
        <f t="shared" si="1"/>
        <v>999</v>
      </c>
      <c r="J62" s="141" t="s">
        <v>4327</v>
      </c>
      <c r="K62" s="141">
        <v>2267</v>
      </c>
      <c r="L62" s="141">
        <v>4</v>
      </c>
      <c r="M62" s="141">
        <v>0</v>
      </c>
      <c r="N62" s="141">
        <v>37000</v>
      </c>
      <c r="O62" s="141" t="s">
        <v>4357</v>
      </c>
      <c r="P62" s="141" t="s">
        <v>4392</v>
      </c>
    </row>
    <row r="63" spans="1:16" ht="25.5">
      <c r="A63" s="141">
        <v>76807</v>
      </c>
      <c r="B63" s="141" t="s">
        <v>4325</v>
      </c>
      <c r="C63" s="142">
        <v>41201</v>
      </c>
      <c r="D63" s="141">
        <v>731</v>
      </c>
      <c r="E63" s="141" t="str">
        <f t="shared" si="0"/>
        <v>001</v>
      </c>
      <c r="F63" s="141" t="s">
        <v>4326</v>
      </c>
      <c r="G63" s="141" t="str">
        <f t="shared" si="6"/>
        <v>0050</v>
      </c>
      <c r="H63" s="141" t="s">
        <v>2645</v>
      </c>
      <c r="I63" s="141" t="str">
        <f t="shared" si="1"/>
        <v>999</v>
      </c>
      <c r="J63" s="141" t="s">
        <v>4327</v>
      </c>
      <c r="K63" s="141">
        <v>2268</v>
      </c>
      <c r="L63" s="141">
        <v>2</v>
      </c>
      <c r="M63" s="141">
        <v>0</v>
      </c>
      <c r="N63" s="141">
        <v>27000</v>
      </c>
      <c r="O63" s="141" t="s">
        <v>4357</v>
      </c>
      <c r="P63" s="141" t="s">
        <v>4393</v>
      </c>
    </row>
    <row r="64" spans="1:16" ht="25.5">
      <c r="A64" s="141">
        <v>76807</v>
      </c>
      <c r="B64" s="141" t="s">
        <v>4325</v>
      </c>
      <c r="C64" s="142">
        <v>41201</v>
      </c>
      <c r="D64" s="141">
        <v>731</v>
      </c>
      <c r="E64" s="141" t="str">
        <f t="shared" si="0"/>
        <v>001</v>
      </c>
      <c r="F64" s="141" t="s">
        <v>4326</v>
      </c>
      <c r="G64" s="141" t="str">
        <f t="shared" si="6"/>
        <v>0050</v>
      </c>
      <c r="H64" s="141" t="s">
        <v>2645</v>
      </c>
      <c r="I64" s="141" t="str">
        <f t="shared" si="1"/>
        <v>999</v>
      </c>
      <c r="J64" s="141" t="s">
        <v>4327</v>
      </c>
      <c r="K64" s="141">
        <v>2269</v>
      </c>
      <c r="L64" s="141">
        <v>1</v>
      </c>
      <c r="M64" s="141">
        <v>0</v>
      </c>
      <c r="N64" s="141">
        <v>12000</v>
      </c>
      <c r="O64" s="141" t="s">
        <v>4357</v>
      </c>
      <c r="P64" s="141" t="s">
        <v>4394</v>
      </c>
    </row>
    <row r="65" spans="1:16" ht="25.5">
      <c r="A65" s="141">
        <v>76807</v>
      </c>
      <c r="B65" s="141" t="s">
        <v>4325</v>
      </c>
      <c r="C65" s="142">
        <v>41201</v>
      </c>
      <c r="D65" s="141">
        <v>731</v>
      </c>
      <c r="E65" s="141" t="str">
        <f t="shared" si="0"/>
        <v>001</v>
      </c>
      <c r="F65" s="141" t="s">
        <v>4326</v>
      </c>
      <c r="G65" s="141" t="str">
        <f t="shared" si="6"/>
        <v>0050</v>
      </c>
      <c r="H65" s="141" t="s">
        <v>2645</v>
      </c>
      <c r="I65" s="141" t="str">
        <f t="shared" si="1"/>
        <v>999</v>
      </c>
      <c r="J65" s="141" t="s">
        <v>4327</v>
      </c>
      <c r="K65" s="141">
        <v>2270</v>
      </c>
      <c r="L65" s="141">
        <v>1</v>
      </c>
      <c r="M65" s="141">
        <v>0</v>
      </c>
      <c r="N65" s="141">
        <v>13000</v>
      </c>
      <c r="O65" s="141" t="s">
        <v>4357</v>
      </c>
      <c r="P65" s="141" t="s">
        <v>4395</v>
      </c>
    </row>
    <row r="66" spans="1:16" ht="25.5">
      <c r="A66" s="141">
        <v>76807</v>
      </c>
      <c r="B66" s="141" t="s">
        <v>4325</v>
      </c>
      <c r="C66" s="142">
        <v>41201</v>
      </c>
      <c r="D66" s="141">
        <v>731</v>
      </c>
      <c r="E66" s="141" t="str">
        <f t="shared" ref="E66:E129" si="7">"001"</f>
        <v>001</v>
      </c>
      <c r="F66" s="141" t="s">
        <v>4326</v>
      </c>
      <c r="G66" s="141" t="str">
        <f t="shared" si="6"/>
        <v>0050</v>
      </c>
      <c r="H66" s="141" t="s">
        <v>2645</v>
      </c>
      <c r="I66" s="141" t="str">
        <f t="shared" ref="I66:I129" si="8">"999"</f>
        <v>999</v>
      </c>
      <c r="J66" s="141" t="s">
        <v>4327</v>
      </c>
      <c r="K66" s="141">
        <v>2271</v>
      </c>
      <c r="L66" s="141">
        <v>3</v>
      </c>
      <c r="M66" s="141">
        <v>0</v>
      </c>
      <c r="N66" s="141">
        <v>11000</v>
      </c>
      <c r="O66" s="141" t="s">
        <v>4357</v>
      </c>
      <c r="P66" s="141" t="s">
        <v>4361</v>
      </c>
    </row>
    <row r="67" spans="1:16" ht="25.5">
      <c r="A67" s="141">
        <v>76807</v>
      </c>
      <c r="B67" s="141" t="s">
        <v>4325</v>
      </c>
      <c r="C67" s="142">
        <v>41201</v>
      </c>
      <c r="D67" s="141">
        <v>731</v>
      </c>
      <c r="E67" s="141" t="str">
        <f t="shared" si="7"/>
        <v>001</v>
      </c>
      <c r="F67" s="141" t="s">
        <v>4326</v>
      </c>
      <c r="G67" s="141" t="str">
        <f t="shared" si="6"/>
        <v>0050</v>
      </c>
      <c r="H67" s="141" t="s">
        <v>2645</v>
      </c>
      <c r="I67" s="141" t="str">
        <f t="shared" si="8"/>
        <v>999</v>
      </c>
      <c r="J67" s="141" t="s">
        <v>4327</v>
      </c>
      <c r="K67" s="141">
        <v>2272</v>
      </c>
      <c r="L67" s="141">
        <v>2</v>
      </c>
      <c r="M67" s="141">
        <v>0</v>
      </c>
      <c r="N67" s="141">
        <v>30000</v>
      </c>
      <c r="O67" s="141" t="s">
        <v>4396</v>
      </c>
      <c r="P67" s="141"/>
    </row>
    <row r="68" spans="1:16" ht="25.5">
      <c r="A68" s="141">
        <v>76807</v>
      </c>
      <c r="B68" s="141" t="s">
        <v>4325</v>
      </c>
      <c r="C68" s="142">
        <v>41201</v>
      </c>
      <c r="D68" s="141">
        <v>731</v>
      </c>
      <c r="E68" s="141" t="str">
        <f t="shared" si="7"/>
        <v>001</v>
      </c>
      <c r="F68" s="141" t="s">
        <v>4326</v>
      </c>
      <c r="G68" s="141" t="str">
        <f t="shared" si="6"/>
        <v>0050</v>
      </c>
      <c r="H68" s="141" t="s">
        <v>2645</v>
      </c>
      <c r="I68" s="141" t="str">
        <f t="shared" si="8"/>
        <v>999</v>
      </c>
      <c r="J68" s="141" t="s">
        <v>4327</v>
      </c>
      <c r="K68" s="141">
        <v>2273</v>
      </c>
      <c r="L68" s="141">
        <v>1</v>
      </c>
      <c r="M68" s="141">
        <v>0</v>
      </c>
      <c r="N68" s="141">
        <v>4000</v>
      </c>
      <c r="O68" s="141" t="s">
        <v>4364</v>
      </c>
      <c r="P68" s="141" t="s">
        <v>4354</v>
      </c>
    </row>
    <row r="69" spans="1:16" ht="25.5">
      <c r="A69" s="141">
        <v>76807</v>
      </c>
      <c r="B69" s="141" t="s">
        <v>4325</v>
      </c>
      <c r="C69" s="142">
        <v>41201</v>
      </c>
      <c r="D69" s="141">
        <v>731</v>
      </c>
      <c r="E69" s="141" t="str">
        <f t="shared" si="7"/>
        <v>001</v>
      </c>
      <c r="F69" s="141" t="s">
        <v>4326</v>
      </c>
      <c r="G69" s="141" t="str">
        <f t="shared" si="6"/>
        <v>0050</v>
      </c>
      <c r="H69" s="141" t="s">
        <v>2645</v>
      </c>
      <c r="I69" s="141" t="str">
        <f t="shared" si="8"/>
        <v>999</v>
      </c>
      <c r="J69" s="141" t="s">
        <v>4327</v>
      </c>
      <c r="K69" s="141">
        <v>2274</v>
      </c>
      <c r="L69" s="141">
        <v>1</v>
      </c>
      <c r="M69" s="141">
        <v>0</v>
      </c>
      <c r="N69" s="141">
        <v>4000</v>
      </c>
      <c r="O69" s="141" t="s">
        <v>4397</v>
      </c>
      <c r="P69" s="141" t="s">
        <v>4398</v>
      </c>
    </row>
    <row r="70" spans="1:16" ht="25.5">
      <c r="A70" s="141">
        <v>76807</v>
      </c>
      <c r="B70" s="141" t="s">
        <v>4325</v>
      </c>
      <c r="C70" s="142">
        <v>41201</v>
      </c>
      <c r="D70" s="141">
        <v>731</v>
      </c>
      <c r="E70" s="141" t="str">
        <f t="shared" si="7"/>
        <v>001</v>
      </c>
      <c r="F70" s="141" t="s">
        <v>4326</v>
      </c>
      <c r="G70" s="141" t="str">
        <f t="shared" si="6"/>
        <v>0050</v>
      </c>
      <c r="H70" s="141" t="s">
        <v>2645</v>
      </c>
      <c r="I70" s="141" t="str">
        <f t="shared" si="8"/>
        <v>999</v>
      </c>
      <c r="J70" s="141" t="s">
        <v>4327</v>
      </c>
      <c r="K70" s="141">
        <v>2275</v>
      </c>
      <c r="L70" s="141">
        <v>1</v>
      </c>
      <c r="M70" s="141">
        <v>0</v>
      </c>
      <c r="N70" s="141">
        <v>4000</v>
      </c>
      <c r="O70" s="141" t="s">
        <v>4364</v>
      </c>
      <c r="P70" s="141" t="s">
        <v>4354</v>
      </c>
    </row>
    <row r="71" spans="1:16" ht="25.5">
      <c r="A71" s="141">
        <v>76807</v>
      </c>
      <c r="B71" s="141" t="s">
        <v>4325</v>
      </c>
      <c r="C71" s="142">
        <v>41201</v>
      </c>
      <c r="D71" s="141">
        <v>731</v>
      </c>
      <c r="E71" s="141" t="str">
        <f t="shared" si="7"/>
        <v>001</v>
      </c>
      <c r="F71" s="141" t="s">
        <v>4326</v>
      </c>
      <c r="G71" s="141" t="str">
        <f t="shared" si="6"/>
        <v>0050</v>
      </c>
      <c r="H71" s="141" t="s">
        <v>2645</v>
      </c>
      <c r="I71" s="141" t="str">
        <f t="shared" si="8"/>
        <v>999</v>
      </c>
      <c r="J71" s="141" t="s">
        <v>4327</v>
      </c>
      <c r="K71" s="141">
        <v>2276</v>
      </c>
      <c r="L71" s="141">
        <v>1</v>
      </c>
      <c r="M71" s="141">
        <v>0</v>
      </c>
      <c r="N71" s="141">
        <v>82000</v>
      </c>
      <c r="O71" s="141" t="s">
        <v>4399</v>
      </c>
      <c r="P71" s="141" t="s">
        <v>4400</v>
      </c>
    </row>
    <row r="72" spans="1:16" ht="25.5">
      <c r="A72" s="141">
        <v>76807</v>
      </c>
      <c r="B72" s="141" t="s">
        <v>4325</v>
      </c>
      <c r="C72" s="142">
        <v>41201</v>
      </c>
      <c r="D72" s="141">
        <v>731</v>
      </c>
      <c r="E72" s="141" t="str">
        <f t="shared" si="7"/>
        <v>001</v>
      </c>
      <c r="F72" s="141" t="s">
        <v>4326</v>
      </c>
      <c r="G72" s="141" t="str">
        <f t="shared" si="6"/>
        <v>0050</v>
      </c>
      <c r="H72" s="141" t="s">
        <v>2645</v>
      </c>
      <c r="I72" s="141" t="str">
        <f t="shared" si="8"/>
        <v>999</v>
      </c>
      <c r="J72" s="141" t="s">
        <v>4327</v>
      </c>
      <c r="K72" s="141">
        <v>2277</v>
      </c>
      <c r="L72" s="141">
        <v>2</v>
      </c>
      <c r="M72" s="141">
        <v>0</v>
      </c>
      <c r="N72" s="141">
        <v>4000</v>
      </c>
      <c r="O72" s="141" t="s">
        <v>4401</v>
      </c>
      <c r="P72" s="141"/>
    </row>
    <row r="73" spans="1:16" ht="25.5">
      <c r="A73" s="141">
        <v>76807</v>
      </c>
      <c r="B73" s="141" t="s">
        <v>4325</v>
      </c>
      <c r="C73" s="142">
        <v>41201</v>
      </c>
      <c r="D73" s="141">
        <v>731</v>
      </c>
      <c r="E73" s="141" t="str">
        <f t="shared" si="7"/>
        <v>001</v>
      </c>
      <c r="F73" s="141" t="s">
        <v>4326</v>
      </c>
      <c r="G73" s="141" t="str">
        <f t="shared" si="6"/>
        <v>0050</v>
      </c>
      <c r="H73" s="141" t="s">
        <v>2645</v>
      </c>
      <c r="I73" s="141" t="str">
        <f t="shared" si="8"/>
        <v>999</v>
      </c>
      <c r="J73" s="141" t="s">
        <v>4327</v>
      </c>
      <c r="K73" s="141">
        <v>2278</v>
      </c>
      <c r="L73" s="141">
        <v>1</v>
      </c>
      <c r="M73" s="141">
        <v>0</v>
      </c>
      <c r="N73" s="141">
        <v>120000</v>
      </c>
      <c r="O73" s="141" t="s">
        <v>4368</v>
      </c>
      <c r="P73" s="141"/>
    </row>
    <row r="74" spans="1:16" ht="25.5">
      <c r="A74" s="141">
        <v>76807</v>
      </c>
      <c r="B74" s="141" t="s">
        <v>4325</v>
      </c>
      <c r="C74" s="142">
        <v>41201</v>
      </c>
      <c r="D74" s="141">
        <v>731</v>
      </c>
      <c r="E74" s="141" t="str">
        <f t="shared" si="7"/>
        <v>001</v>
      </c>
      <c r="F74" s="141" t="s">
        <v>4326</v>
      </c>
      <c r="G74" s="141" t="str">
        <f t="shared" si="6"/>
        <v>0050</v>
      </c>
      <c r="H74" s="141" t="s">
        <v>2645</v>
      </c>
      <c r="I74" s="141" t="str">
        <f t="shared" si="8"/>
        <v>999</v>
      </c>
      <c r="J74" s="141" t="s">
        <v>4327</v>
      </c>
      <c r="K74" s="141">
        <v>2279</v>
      </c>
      <c r="L74" s="141">
        <v>3</v>
      </c>
      <c r="M74" s="141">
        <v>0</v>
      </c>
      <c r="N74" s="141">
        <v>2000</v>
      </c>
      <c r="O74" s="141" t="s">
        <v>4343</v>
      </c>
      <c r="P74" s="141"/>
    </row>
    <row r="75" spans="1:16" ht="25.5">
      <c r="A75" s="141">
        <v>76807</v>
      </c>
      <c r="B75" s="141" t="s">
        <v>4325</v>
      </c>
      <c r="C75" s="142">
        <v>41201</v>
      </c>
      <c r="D75" s="141">
        <v>731</v>
      </c>
      <c r="E75" s="141" t="str">
        <f t="shared" si="7"/>
        <v>001</v>
      </c>
      <c r="F75" s="141" t="s">
        <v>4326</v>
      </c>
      <c r="G75" s="141" t="str">
        <f t="shared" si="6"/>
        <v>0050</v>
      </c>
      <c r="H75" s="141" t="s">
        <v>2645</v>
      </c>
      <c r="I75" s="141" t="str">
        <f t="shared" si="8"/>
        <v>999</v>
      </c>
      <c r="J75" s="141" t="s">
        <v>4327</v>
      </c>
      <c r="K75" s="141">
        <v>2280</v>
      </c>
      <c r="L75" s="141">
        <v>2</v>
      </c>
      <c r="M75" s="141">
        <v>0</v>
      </c>
      <c r="N75" s="141">
        <v>1000</v>
      </c>
      <c r="O75" s="141" t="s">
        <v>4350</v>
      </c>
      <c r="P75" s="141"/>
    </row>
    <row r="76" spans="1:16" ht="25.5">
      <c r="A76" s="141">
        <v>76807</v>
      </c>
      <c r="B76" s="141" t="s">
        <v>4325</v>
      </c>
      <c r="C76" s="142">
        <v>41201</v>
      </c>
      <c r="D76" s="141">
        <v>731</v>
      </c>
      <c r="E76" s="141" t="str">
        <f t="shared" si="7"/>
        <v>001</v>
      </c>
      <c r="F76" s="141" t="s">
        <v>4326</v>
      </c>
      <c r="G76" s="141" t="str">
        <f t="shared" si="6"/>
        <v>0050</v>
      </c>
      <c r="H76" s="141" t="s">
        <v>2645</v>
      </c>
      <c r="I76" s="141" t="str">
        <f t="shared" si="8"/>
        <v>999</v>
      </c>
      <c r="J76" s="141" t="s">
        <v>4327</v>
      </c>
      <c r="K76" s="141">
        <v>2281</v>
      </c>
      <c r="L76" s="141">
        <v>1</v>
      </c>
      <c r="M76" s="141">
        <v>0</v>
      </c>
      <c r="N76" s="141">
        <v>5000</v>
      </c>
      <c r="O76" s="141" t="s">
        <v>4369</v>
      </c>
      <c r="P76" s="141" t="s">
        <v>4402</v>
      </c>
    </row>
    <row r="77" spans="1:16" ht="25.5">
      <c r="A77" s="141">
        <v>76807</v>
      </c>
      <c r="B77" s="141" t="s">
        <v>4325</v>
      </c>
      <c r="C77" s="142">
        <v>41201</v>
      </c>
      <c r="D77" s="141">
        <v>731</v>
      </c>
      <c r="E77" s="141" t="str">
        <f t="shared" si="7"/>
        <v>001</v>
      </c>
      <c r="F77" s="141" t="s">
        <v>4326</v>
      </c>
      <c r="G77" s="141" t="str">
        <f t="shared" si="6"/>
        <v>0050</v>
      </c>
      <c r="H77" s="141" t="s">
        <v>2645</v>
      </c>
      <c r="I77" s="141" t="str">
        <f t="shared" si="8"/>
        <v>999</v>
      </c>
      <c r="J77" s="141" t="s">
        <v>4327</v>
      </c>
      <c r="K77" s="141">
        <v>2282</v>
      </c>
      <c r="L77" s="141">
        <v>2</v>
      </c>
      <c r="M77" s="141">
        <v>0</v>
      </c>
      <c r="N77" s="141">
        <v>1000</v>
      </c>
      <c r="O77" s="141" t="s">
        <v>4403</v>
      </c>
      <c r="P77" s="141"/>
    </row>
    <row r="78" spans="1:16" ht="25.5">
      <c r="A78" s="141">
        <v>76807</v>
      </c>
      <c r="B78" s="141" t="s">
        <v>4325</v>
      </c>
      <c r="C78" s="142">
        <v>41201</v>
      </c>
      <c r="D78" s="141">
        <v>731</v>
      </c>
      <c r="E78" s="141" t="str">
        <f t="shared" si="7"/>
        <v>001</v>
      </c>
      <c r="F78" s="141" t="s">
        <v>4326</v>
      </c>
      <c r="G78" s="141" t="str">
        <f t="shared" si="6"/>
        <v>0050</v>
      </c>
      <c r="H78" s="141" t="s">
        <v>2645</v>
      </c>
      <c r="I78" s="141" t="str">
        <f t="shared" si="8"/>
        <v>999</v>
      </c>
      <c r="J78" s="141" t="s">
        <v>4327</v>
      </c>
      <c r="K78" s="141">
        <v>2283</v>
      </c>
      <c r="L78" s="141">
        <v>1</v>
      </c>
      <c r="M78" s="141">
        <v>0</v>
      </c>
      <c r="N78" s="141">
        <v>2000</v>
      </c>
      <c r="O78" s="141" t="s">
        <v>4345</v>
      </c>
      <c r="P78" s="141"/>
    </row>
    <row r="79" spans="1:16" ht="25.5">
      <c r="A79" s="141">
        <v>76807</v>
      </c>
      <c r="B79" s="141" t="s">
        <v>4325</v>
      </c>
      <c r="C79" s="142">
        <v>41201</v>
      </c>
      <c r="D79" s="141">
        <v>731</v>
      </c>
      <c r="E79" s="141" t="str">
        <f t="shared" si="7"/>
        <v>001</v>
      </c>
      <c r="F79" s="141" t="s">
        <v>4326</v>
      </c>
      <c r="G79" s="141" t="str">
        <f t="shared" si="6"/>
        <v>0050</v>
      </c>
      <c r="H79" s="141" t="s">
        <v>2645</v>
      </c>
      <c r="I79" s="141" t="str">
        <f t="shared" si="8"/>
        <v>999</v>
      </c>
      <c r="J79" s="141" t="s">
        <v>4327</v>
      </c>
      <c r="K79" s="141">
        <v>2284</v>
      </c>
      <c r="L79" s="141">
        <v>1</v>
      </c>
      <c r="M79" s="141">
        <v>0</v>
      </c>
      <c r="N79" s="141">
        <v>3000</v>
      </c>
      <c r="O79" s="141" t="s">
        <v>4404</v>
      </c>
      <c r="P79" s="141"/>
    </row>
    <row r="80" spans="1:16" ht="25.5">
      <c r="A80" s="141">
        <v>76807</v>
      </c>
      <c r="B80" s="141" t="s">
        <v>4325</v>
      </c>
      <c r="C80" s="142">
        <v>41201</v>
      </c>
      <c r="D80" s="141">
        <v>731</v>
      </c>
      <c r="E80" s="141" t="str">
        <f t="shared" si="7"/>
        <v>001</v>
      </c>
      <c r="F80" s="141" t="s">
        <v>4326</v>
      </c>
      <c r="G80" s="141" t="str">
        <f t="shared" si="6"/>
        <v>0050</v>
      </c>
      <c r="H80" s="141" t="s">
        <v>2645</v>
      </c>
      <c r="I80" s="141" t="str">
        <f t="shared" si="8"/>
        <v>999</v>
      </c>
      <c r="J80" s="141" t="s">
        <v>4327</v>
      </c>
      <c r="K80" s="141">
        <v>2285</v>
      </c>
      <c r="L80" s="141">
        <v>1</v>
      </c>
      <c r="M80" s="141">
        <v>0</v>
      </c>
      <c r="N80" s="141">
        <v>3000</v>
      </c>
      <c r="O80" s="141" t="s">
        <v>4405</v>
      </c>
      <c r="P80" s="141" t="s">
        <v>4372</v>
      </c>
    </row>
    <row r="81" spans="1:16" ht="25.5">
      <c r="A81" s="141">
        <v>76807</v>
      </c>
      <c r="B81" s="141" t="s">
        <v>4325</v>
      </c>
      <c r="C81" s="142">
        <v>41201</v>
      </c>
      <c r="D81" s="141">
        <v>731</v>
      </c>
      <c r="E81" s="141" t="str">
        <f t="shared" si="7"/>
        <v>001</v>
      </c>
      <c r="F81" s="141" t="s">
        <v>4326</v>
      </c>
      <c r="G81" s="141" t="str">
        <f t="shared" si="6"/>
        <v>0050</v>
      </c>
      <c r="H81" s="141" t="s">
        <v>2645</v>
      </c>
      <c r="I81" s="141" t="str">
        <f t="shared" si="8"/>
        <v>999</v>
      </c>
      <c r="J81" s="141" t="s">
        <v>4327</v>
      </c>
      <c r="K81" s="141">
        <v>2286</v>
      </c>
      <c r="L81" s="141">
        <v>1</v>
      </c>
      <c r="M81" s="141">
        <v>0</v>
      </c>
      <c r="N81" s="141">
        <v>3000</v>
      </c>
      <c r="O81" s="141" t="s">
        <v>4405</v>
      </c>
      <c r="P81" s="141" t="s">
        <v>4372</v>
      </c>
    </row>
    <row r="82" spans="1:16" ht="25.5">
      <c r="A82" s="141">
        <v>76807</v>
      </c>
      <c r="B82" s="141" t="s">
        <v>4325</v>
      </c>
      <c r="C82" s="142">
        <v>41201</v>
      </c>
      <c r="D82" s="141">
        <v>731</v>
      </c>
      <c r="E82" s="141" t="str">
        <f t="shared" si="7"/>
        <v>001</v>
      </c>
      <c r="F82" s="141" t="s">
        <v>4326</v>
      </c>
      <c r="G82" s="141" t="str">
        <f t="shared" si="6"/>
        <v>0050</v>
      </c>
      <c r="H82" s="141" t="s">
        <v>2645</v>
      </c>
      <c r="I82" s="141" t="str">
        <f t="shared" si="8"/>
        <v>999</v>
      </c>
      <c r="J82" s="141" t="s">
        <v>4327</v>
      </c>
      <c r="K82" s="141">
        <v>2287</v>
      </c>
      <c r="L82" s="141">
        <v>1</v>
      </c>
      <c r="M82" s="141">
        <v>0</v>
      </c>
      <c r="N82" s="141">
        <v>3000</v>
      </c>
      <c r="O82" s="141" t="s">
        <v>4405</v>
      </c>
      <c r="P82" s="141" t="s">
        <v>4372</v>
      </c>
    </row>
    <row r="83" spans="1:16" ht="25.5">
      <c r="A83" s="141">
        <v>76807</v>
      </c>
      <c r="B83" s="141" t="s">
        <v>4325</v>
      </c>
      <c r="C83" s="142">
        <v>41201</v>
      </c>
      <c r="D83" s="141">
        <v>731</v>
      </c>
      <c r="E83" s="141" t="str">
        <f t="shared" si="7"/>
        <v>001</v>
      </c>
      <c r="F83" s="141" t="s">
        <v>4326</v>
      </c>
      <c r="G83" s="141" t="str">
        <f t="shared" si="6"/>
        <v>0050</v>
      </c>
      <c r="H83" s="141" t="s">
        <v>2645</v>
      </c>
      <c r="I83" s="141" t="str">
        <f t="shared" si="8"/>
        <v>999</v>
      </c>
      <c r="J83" s="141" t="s">
        <v>4327</v>
      </c>
      <c r="K83" s="141">
        <v>2288</v>
      </c>
      <c r="L83" s="141">
        <v>1</v>
      </c>
      <c r="M83" s="141">
        <v>0</v>
      </c>
      <c r="N83" s="141">
        <v>3000</v>
      </c>
      <c r="O83" s="141" t="s">
        <v>4405</v>
      </c>
      <c r="P83" s="141" t="s">
        <v>4372</v>
      </c>
    </row>
    <row r="84" spans="1:16" ht="25.5">
      <c r="A84" s="141">
        <v>76807</v>
      </c>
      <c r="B84" s="141" t="s">
        <v>4325</v>
      </c>
      <c r="C84" s="142">
        <v>41201</v>
      </c>
      <c r="D84" s="141">
        <v>731</v>
      </c>
      <c r="E84" s="141" t="str">
        <f t="shared" si="7"/>
        <v>001</v>
      </c>
      <c r="F84" s="141" t="s">
        <v>4326</v>
      </c>
      <c r="G84" s="141" t="str">
        <f t="shared" si="6"/>
        <v>0050</v>
      </c>
      <c r="H84" s="141" t="s">
        <v>2645</v>
      </c>
      <c r="I84" s="141" t="str">
        <f t="shared" si="8"/>
        <v>999</v>
      </c>
      <c r="J84" s="141" t="s">
        <v>4327</v>
      </c>
      <c r="K84" s="141">
        <v>2289</v>
      </c>
      <c r="L84" s="141">
        <v>1</v>
      </c>
      <c r="M84" s="141">
        <v>0</v>
      </c>
      <c r="N84" s="141">
        <v>3000</v>
      </c>
      <c r="O84" s="141" t="s">
        <v>4405</v>
      </c>
      <c r="P84" s="141" t="s">
        <v>4372</v>
      </c>
    </row>
    <row r="85" spans="1:16" ht="25.5">
      <c r="A85" s="141">
        <v>76807</v>
      </c>
      <c r="B85" s="141" t="s">
        <v>4325</v>
      </c>
      <c r="C85" s="142">
        <v>41201</v>
      </c>
      <c r="D85" s="141">
        <v>731</v>
      </c>
      <c r="E85" s="141" t="str">
        <f t="shared" si="7"/>
        <v>001</v>
      </c>
      <c r="F85" s="141" t="s">
        <v>4326</v>
      </c>
      <c r="G85" s="141" t="str">
        <f t="shared" si="6"/>
        <v>0050</v>
      </c>
      <c r="H85" s="141" t="s">
        <v>2645</v>
      </c>
      <c r="I85" s="141" t="str">
        <f t="shared" si="8"/>
        <v>999</v>
      </c>
      <c r="J85" s="141" t="s">
        <v>4327</v>
      </c>
      <c r="K85" s="141">
        <v>2290</v>
      </c>
      <c r="L85" s="141">
        <v>1</v>
      </c>
      <c r="M85" s="141">
        <v>0</v>
      </c>
      <c r="N85" s="141">
        <v>3000</v>
      </c>
      <c r="O85" s="141" t="s">
        <v>4405</v>
      </c>
      <c r="P85" s="141" t="s">
        <v>4372</v>
      </c>
    </row>
    <row r="86" spans="1:16" ht="25.5">
      <c r="A86" s="141">
        <v>76807</v>
      </c>
      <c r="B86" s="141" t="s">
        <v>4325</v>
      </c>
      <c r="C86" s="142">
        <v>41201</v>
      </c>
      <c r="D86" s="141">
        <v>731</v>
      </c>
      <c r="E86" s="141" t="str">
        <f t="shared" si="7"/>
        <v>001</v>
      </c>
      <c r="F86" s="141" t="s">
        <v>4326</v>
      </c>
      <c r="G86" s="141" t="str">
        <f t="shared" si="6"/>
        <v>0050</v>
      </c>
      <c r="H86" s="141" t="s">
        <v>2645</v>
      </c>
      <c r="I86" s="141" t="str">
        <f t="shared" si="8"/>
        <v>999</v>
      </c>
      <c r="J86" s="141" t="s">
        <v>4327</v>
      </c>
      <c r="K86" s="141">
        <v>2291</v>
      </c>
      <c r="L86" s="141">
        <v>1</v>
      </c>
      <c r="M86" s="141">
        <v>0</v>
      </c>
      <c r="N86" s="141">
        <v>4000</v>
      </c>
      <c r="O86" s="141" t="s">
        <v>4371</v>
      </c>
      <c r="P86" s="141" t="s">
        <v>4372</v>
      </c>
    </row>
    <row r="87" spans="1:16" ht="25.5">
      <c r="A87" s="141">
        <v>76807</v>
      </c>
      <c r="B87" s="141" t="s">
        <v>4325</v>
      </c>
      <c r="C87" s="142">
        <v>41201</v>
      </c>
      <c r="D87" s="141">
        <v>731</v>
      </c>
      <c r="E87" s="141" t="str">
        <f t="shared" si="7"/>
        <v>001</v>
      </c>
      <c r="F87" s="141" t="s">
        <v>4326</v>
      </c>
      <c r="G87" s="141" t="str">
        <f t="shared" si="6"/>
        <v>0050</v>
      </c>
      <c r="H87" s="141" t="s">
        <v>2645</v>
      </c>
      <c r="I87" s="141" t="str">
        <f t="shared" si="8"/>
        <v>999</v>
      </c>
      <c r="J87" s="141" t="s">
        <v>4327</v>
      </c>
      <c r="K87" s="141">
        <v>2292</v>
      </c>
      <c r="L87" s="141">
        <v>1</v>
      </c>
      <c r="M87" s="141">
        <v>0</v>
      </c>
      <c r="N87" s="141">
        <v>4000</v>
      </c>
      <c r="O87" s="141" t="s">
        <v>4371</v>
      </c>
      <c r="P87" s="141" t="s">
        <v>4372</v>
      </c>
    </row>
    <row r="88" spans="1:16" ht="25.5">
      <c r="A88" s="141">
        <v>76807</v>
      </c>
      <c r="B88" s="141" t="s">
        <v>4325</v>
      </c>
      <c r="C88" s="142">
        <v>41201</v>
      </c>
      <c r="D88" s="141">
        <v>731</v>
      </c>
      <c r="E88" s="141" t="str">
        <f t="shared" si="7"/>
        <v>001</v>
      </c>
      <c r="F88" s="141" t="s">
        <v>4326</v>
      </c>
      <c r="G88" s="141" t="str">
        <f t="shared" si="6"/>
        <v>0050</v>
      </c>
      <c r="H88" s="141" t="s">
        <v>2645</v>
      </c>
      <c r="I88" s="141" t="str">
        <f t="shared" si="8"/>
        <v>999</v>
      </c>
      <c r="J88" s="141" t="s">
        <v>4327</v>
      </c>
      <c r="K88" s="141">
        <v>2293</v>
      </c>
      <c r="L88" s="141">
        <v>1</v>
      </c>
      <c r="M88" s="141">
        <v>0</v>
      </c>
      <c r="N88" s="141">
        <v>4000</v>
      </c>
      <c r="O88" s="141" t="s">
        <v>4371</v>
      </c>
      <c r="P88" s="141" t="s">
        <v>4372</v>
      </c>
    </row>
    <row r="89" spans="1:16" ht="25.5">
      <c r="A89" s="141">
        <v>76807</v>
      </c>
      <c r="B89" s="141" t="s">
        <v>4325</v>
      </c>
      <c r="C89" s="142">
        <v>41201</v>
      </c>
      <c r="D89" s="141">
        <v>731</v>
      </c>
      <c r="E89" s="141" t="str">
        <f t="shared" si="7"/>
        <v>001</v>
      </c>
      <c r="F89" s="141" t="s">
        <v>4326</v>
      </c>
      <c r="G89" s="141" t="str">
        <f t="shared" si="6"/>
        <v>0050</v>
      </c>
      <c r="H89" s="141" t="s">
        <v>2645</v>
      </c>
      <c r="I89" s="141" t="str">
        <f t="shared" si="8"/>
        <v>999</v>
      </c>
      <c r="J89" s="141" t="s">
        <v>4327</v>
      </c>
      <c r="K89" s="141">
        <v>2294</v>
      </c>
      <c r="L89" s="141">
        <v>1</v>
      </c>
      <c r="M89" s="141">
        <v>0</v>
      </c>
      <c r="N89" s="141">
        <v>4000</v>
      </c>
      <c r="O89" s="141" t="s">
        <v>4371</v>
      </c>
      <c r="P89" s="141" t="s">
        <v>4372</v>
      </c>
    </row>
    <row r="90" spans="1:16" ht="25.5">
      <c r="A90" s="141">
        <v>76807</v>
      </c>
      <c r="B90" s="141" t="s">
        <v>4325</v>
      </c>
      <c r="C90" s="142">
        <v>41201</v>
      </c>
      <c r="D90" s="141">
        <v>731</v>
      </c>
      <c r="E90" s="141" t="str">
        <f t="shared" si="7"/>
        <v>001</v>
      </c>
      <c r="F90" s="141" t="s">
        <v>4326</v>
      </c>
      <c r="G90" s="141" t="str">
        <f t="shared" si="6"/>
        <v>0050</v>
      </c>
      <c r="H90" s="141" t="s">
        <v>2645</v>
      </c>
      <c r="I90" s="141" t="str">
        <f t="shared" si="8"/>
        <v>999</v>
      </c>
      <c r="J90" s="141" t="s">
        <v>4327</v>
      </c>
      <c r="K90" s="141">
        <v>2295</v>
      </c>
      <c r="L90" s="141">
        <v>1</v>
      </c>
      <c r="M90" s="141">
        <v>0</v>
      </c>
      <c r="N90" s="141">
        <v>4000</v>
      </c>
      <c r="O90" s="141" t="s">
        <v>4371</v>
      </c>
      <c r="P90" s="141" t="s">
        <v>4372</v>
      </c>
    </row>
    <row r="91" spans="1:16" ht="25.5">
      <c r="A91" s="141">
        <v>76807</v>
      </c>
      <c r="B91" s="141" t="s">
        <v>4325</v>
      </c>
      <c r="C91" s="142">
        <v>41201</v>
      </c>
      <c r="D91" s="141">
        <v>731</v>
      </c>
      <c r="E91" s="141" t="str">
        <f t="shared" si="7"/>
        <v>001</v>
      </c>
      <c r="F91" s="141" t="s">
        <v>4326</v>
      </c>
      <c r="G91" s="141" t="str">
        <f t="shared" si="6"/>
        <v>0050</v>
      </c>
      <c r="H91" s="141" t="s">
        <v>2645</v>
      </c>
      <c r="I91" s="141" t="str">
        <f t="shared" si="8"/>
        <v>999</v>
      </c>
      <c r="J91" s="141" t="s">
        <v>4327</v>
      </c>
      <c r="K91" s="141">
        <v>2296</v>
      </c>
      <c r="L91" s="141">
        <v>1</v>
      </c>
      <c r="M91" s="141">
        <v>0</v>
      </c>
      <c r="N91" s="141">
        <v>4000</v>
      </c>
      <c r="O91" s="141" t="s">
        <v>4371</v>
      </c>
      <c r="P91" s="141" t="s">
        <v>4372</v>
      </c>
    </row>
    <row r="92" spans="1:16" ht="25.5">
      <c r="A92" s="141">
        <v>76807</v>
      </c>
      <c r="B92" s="141" t="s">
        <v>4325</v>
      </c>
      <c r="C92" s="142">
        <v>41201</v>
      </c>
      <c r="D92" s="141">
        <v>731</v>
      </c>
      <c r="E92" s="141" t="str">
        <f t="shared" si="7"/>
        <v>001</v>
      </c>
      <c r="F92" s="141" t="s">
        <v>4326</v>
      </c>
      <c r="G92" s="141" t="str">
        <f t="shared" si="6"/>
        <v>0050</v>
      </c>
      <c r="H92" s="141" t="s">
        <v>2645</v>
      </c>
      <c r="I92" s="141" t="str">
        <f t="shared" si="8"/>
        <v>999</v>
      </c>
      <c r="J92" s="141" t="s">
        <v>4327</v>
      </c>
      <c r="K92" s="141">
        <v>2297</v>
      </c>
      <c r="L92" s="141">
        <v>1</v>
      </c>
      <c r="M92" s="141">
        <v>0</v>
      </c>
      <c r="N92" s="141">
        <v>4000</v>
      </c>
      <c r="O92" s="141" t="s">
        <v>4371</v>
      </c>
      <c r="P92" s="141" t="s">
        <v>4372</v>
      </c>
    </row>
    <row r="93" spans="1:16" ht="25.5">
      <c r="A93" s="141">
        <v>76807</v>
      </c>
      <c r="B93" s="141" t="s">
        <v>4325</v>
      </c>
      <c r="C93" s="142">
        <v>41201</v>
      </c>
      <c r="D93" s="141">
        <v>731</v>
      </c>
      <c r="E93" s="141" t="str">
        <f t="shared" si="7"/>
        <v>001</v>
      </c>
      <c r="F93" s="141" t="s">
        <v>4326</v>
      </c>
      <c r="G93" s="141" t="str">
        <f t="shared" si="6"/>
        <v>0050</v>
      </c>
      <c r="H93" s="141" t="s">
        <v>2645</v>
      </c>
      <c r="I93" s="141" t="str">
        <f t="shared" si="8"/>
        <v>999</v>
      </c>
      <c r="J93" s="141" t="s">
        <v>4327</v>
      </c>
      <c r="K93" s="141">
        <v>2298</v>
      </c>
      <c r="L93" s="141">
        <v>1</v>
      </c>
      <c r="M93" s="141">
        <v>0</v>
      </c>
      <c r="N93" s="141">
        <v>2000</v>
      </c>
      <c r="O93" s="141" t="s">
        <v>4347</v>
      </c>
      <c r="P93" s="141"/>
    </row>
    <row r="94" spans="1:16" ht="25.5">
      <c r="A94" s="141">
        <v>76807</v>
      </c>
      <c r="B94" s="141" t="s">
        <v>4325</v>
      </c>
      <c r="C94" s="142">
        <v>41201</v>
      </c>
      <c r="D94" s="141">
        <v>731</v>
      </c>
      <c r="E94" s="141" t="str">
        <f t="shared" si="7"/>
        <v>001</v>
      </c>
      <c r="F94" s="141" t="s">
        <v>4326</v>
      </c>
      <c r="G94" s="141" t="str">
        <f t="shared" si="6"/>
        <v>0050</v>
      </c>
      <c r="H94" s="141" t="s">
        <v>2645</v>
      </c>
      <c r="I94" s="141" t="str">
        <f t="shared" si="8"/>
        <v>999</v>
      </c>
      <c r="J94" s="141" t="s">
        <v>4327</v>
      </c>
      <c r="K94" s="141">
        <v>2299</v>
      </c>
      <c r="L94" s="141">
        <v>2</v>
      </c>
      <c r="M94" s="141">
        <v>0</v>
      </c>
      <c r="N94" s="141">
        <v>9000</v>
      </c>
      <c r="O94" s="141" t="s">
        <v>4406</v>
      </c>
      <c r="P94" s="141"/>
    </row>
    <row r="95" spans="1:16" ht="25.5">
      <c r="A95" s="141">
        <v>76807</v>
      </c>
      <c r="B95" s="141" t="s">
        <v>4325</v>
      </c>
      <c r="C95" s="142">
        <v>41201</v>
      </c>
      <c r="D95" s="141">
        <v>731</v>
      </c>
      <c r="E95" s="141" t="str">
        <f t="shared" si="7"/>
        <v>001</v>
      </c>
      <c r="F95" s="141" t="s">
        <v>4326</v>
      </c>
      <c r="G95" s="141" t="str">
        <f t="shared" si="6"/>
        <v>0050</v>
      </c>
      <c r="H95" s="141" t="s">
        <v>2645</v>
      </c>
      <c r="I95" s="141" t="str">
        <f t="shared" si="8"/>
        <v>999</v>
      </c>
      <c r="J95" s="141" t="s">
        <v>4327</v>
      </c>
      <c r="K95" s="141">
        <v>2300</v>
      </c>
      <c r="L95" s="141">
        <v>1</v>
      </c>
      <c r="M95" s="141">
        <v>0</v>
      </c>
      <c r="N95" s="141">
        <v>6000</v>
      </c>
      <c r="O95" s="141" t="s">
        <v>4407</v>
      </c>
      <c r="P95" s="141"/>
    </row>
    <row r="96" spans="1:16" ht="25.5">
      <c r="A96" s="141">
        <v>76807</v>
      </c>
      <c r="B96" s="141" t="s">
        <v>4325</v>
      </c>
      <c r="C96" s="142">
        <v>41201</v>
      </c>
      <c r="D96" s="141">
        <v>429</v>
      </c>
      <c r="E96" s="141" t="str">
        <f t="shared" si="7"/>
        <v>001</v>
      </c>
      <c r="F96" s="141" t="s">
        <v>4326</v>
      </c>
      <c r="G96" s="141" t="str">
        <f>"0051"</f>
        <v>0051</v>
      </c>
      <c r="H96" s="141" t="s">
        <v>3728</v>
      </c>
      <c r="I96" s="141" t="str">
        <f t="shared" si="8"/>
        <v>999</v>
      </c>
      <c r="J96" s="141" t="s">
        <v>4327</v>
      </c>
      <c r="K96" s="141">
        <v>1232</v>
      </c>
      <c r="L96" s="141">
        <v>1</v>
      </c>
      <c r="M96" s="141">
        <v>0</v>
      </c>
      <c r="N96" s="141">
        <v>4000</v>
      </c>
      <c r="O96" s="141" t="s">
        <v>4341</v>
      </c>
      <c r="P96" s="141" t="s">
        <v>4389</v>
      </c>
    </row>
    <row r="97" spans="1:16" ht="25.5">
      <c r="A97" s="141">
        <v>76807</v>
      </c>
      <c r="B97" s="141" t="s">
        <v>4325</v>
      </c>
      <c r="C97" s="142">
        <v>41201</v>
      </c>
      <c r="D97" s="141">
        <v>429</v>
      </c>
      <c r="E97" s="141" t="str">
        <f t="shared" si="7"/>
        <v>001</v>
      </c>
      <c r="F97" s="141" t="s">
        <v>4326</v>
      </c>
      <c r="G97" s="141" t="str">
        <f>"0051"</f>
        <v>0051</v>
      </c>
      <c r="H97" s="141" t="s">
        <v>3728</v>
      </c>
      <c r="I97" s="141" t="str">
        <f t="shared" si="8"/>
        <v>999</v>
      </c>
      <c r="J97" s="141" t="s">
        <v>4327</v>
      </c>
      <c r="K97" s="141">
        <v>1233</v>
      </c>
      <c r="L97" s="141">
        <v>2</v>
      </c>
      <c r="M97" s="141">
        <v>0</v>
      </c>
      <c r="N97" s="141">
        <v>4000</v>
      </c>
      <c r="O97" s="141" t="s">
        <v>4408</v>
      </c>
      <c r="P97" s="141"/>
    </row>
    <row r="98" spans="1:16" ht="25.5">
      <c r="A98" s="141">
        <v>76807</v>
      </c>
      <c r="B98" s="141" t="s">
        <v>4325</v>
      </c>
      <c r="C98" s="142">
        <v>41201</v>
      </c>
      <c r="D98" s="141">
        <v>429</v>
      </c>
      <c r="E98" s="141" t="str">
        <f t="shared" si="7"/>
        <v>001</v>
      </c>
      <c r="F98" s="141" t="s">
        <v>4326</v>
      </c>
      <c r="G98" s="141" t="str">
        <f>"0051"</f>
        <v>0051</v>
      </c>
      <c r="H98" s="141" t="s">
        <v>3728</v>
      </c>
      <c r="I98" s="141" t="str">
        <f t="shared" si="8"/>
        <v>999</v>
      </c>
      <c r="J98" s="141" t="s">
        <v>4327</v>
      </c>
      <c r="K98" s="141">
        <v>1234</v>
      </c>
      <c r="L98" s="141">
        <v>3</v>
      </c>
      <c r="M98" s="141">
        <v>0</v>
      </c>
      <c r="N98" s="141">
        <v>2000</v>
      </c>
      <c r="O98" s="141" t="s">
        <v>4343</v>
      </c>
      <c r="P98" s="141"/>
    </row>
    <row r="99" spans="1:16" ht="25.5">
      <c r="A99" s="141">
        <v>76807</v>
      </c>
      <c r="B99" s="141" t="s">
        <v>4325</v>
      </c>
      <c r="C99" s="142">
        <v>41201</v>
      </c>
      <c r="D99" s="141">
        <v>429</v>
      </c>
      <c r="E99" s="141" t="str">
        <f t="shared" si="7"/>
        <v>001</v>
      </c>
      <c r="F99" s="141" t="s">
        <v>4326</v>
      </c>
      <c r="G99" s="141" t="str">
        <f>"0051"</f>
        <v>0051</v>
      </c>
      <c r="H99" s="141" t="s">
        <v>3728</v>
      </c>
      <c r="I99" s="141" t="str">
        <f t="shared" si="8"/>
        <v>999</v>
      </c>
      <c r="J99" s="141" t="s">
        <v>4327</v>
      </c>
      <c r="K99" s="141">
        <v>1235</v>
      </c>
      <c r="L99" s="141">
        <v>1</v>
      </c>
      <c r="M99" s="141">
        <v>0</v>
      </c>
      <c r="N99" s="141">
        <v>3000</v>
      </c>
      <c r="O99" s="141" t="s">
        <v>4409</v>
      </c>
      <c r="P99" s="141" t="s">
        <v>4335</v>
      </c>
    </row>
    <row r="100" spans="1:16" ht="25.5">
      <c r="A100" s="141">
        <v>76807</v>
      </c>
      <c r="B100" s="141" t="s">
        <v>4325</v>
      </c>
      <c r="C100" s="142">
        <v>41201</v>
      </c>
      <c r="D100" s="141">
        <v>348</v>
      </c>
      <c r="E100" s="141" t="str">
        <f t="shared" si="7"/>
        <v>001</v>
      </c>
      <c r="F100" s="141" t="s">
        <v>4326</v>
      </c>
      <c r="G100" s="141" t="str">
        <f t="shared" ref="G100:G120" si="9">"0056"</f>
        <v>0056</v>
      </c>
      <c r="H100" s="141" t="s">
        <v>730</v>
      </c>
      <c r="I100" s="141" t="str">
        <f t="shared" si="8"/>
        <v>999</v>
      </c>
      <c r="J100" s="141" t="s">
        <v>4327</v>
      </c>
      <c r="K100" s="141">
        <v>590</v>
      </c>
      <c r="L100" s="141">
        <v>1</v>
      </c>
      <c r="M100" s="141">
        <v>0</v>
      </c>
      <c r="N100" s="141">
        <v>17000</v>
      </c>
      <c r="O100" s="141" t="s">
        <v>4328</v>
      </c>
      <c r="P100" s="141" t="s">
        <v>4410</v>
      </c>
    </row>
    <row r="101" spans="1:16" ht="25.5">
      <c r="A101" s="141">
        <v>76807</v>
      </c>
      <c r="B101" s="141" t="s">
        <v>4325</v>
      </c>
      <c r="C101" s="142">
        <v>41201</v>
      </c>
      <c r="D101" s="141">
        <v>348</v>
      </c>
      <c r="E101" s="141" t="str">
        <f t="shared" si="7"/>
        <v>001</v>
      </c>
      <c r="F101" s="141" t="s">
        <v>4326</v>
      </c>
      <c r="G101" s="141" t="str">
        <f t="shared" si="9"/>
        <v>0056</v>
      </c>
      <c r="H101" s="141" t="s">
        <v>730</v>
      </c>
      <c r="I101" s="141" t="str">
        <f t="shared" si="8"/>
        <v>999</v>
      </c>
      <c r="J101" s="141" t="s">
        <v>4327</v>
      </c>
      <c r="K101" s="141">
        <v>591</v>
      </c>
      <c r="L101" s="141">
        <v>1</v>
      </c>
      <c r="M101" s="141">
        <v>0</v>
      </c>
      <c r="N101" s="141">
        <v>12000</v>
      </c>
      <c r="O101" s="141" t="s">
        <v>4388</v>
      </c>
      <c r="P101" s="141" t="s">
        <v>4411</v>
      </c>
    </row>
    <row r="102" spans="1:16" ht="25.5">
      <c r="A102" s="141">
        <v>76807</v>
      </c>
      <c r="B102" s="141" t="s">
        <v>4325</v>
      </c>
      <c r="C102" s="142">
        <v>41201</v>
      </c>
      <c r="D102" s="141">
        <v>348</v>
      </c>
      <c r="E102" s="141" t="str">
        <f t="shared" si="7"/>
        <v>001</v>
      </c>
      <c r="F102" s="141" t="s">
        <v>4326</v>
      </c>
      <c r="G102" s="141" t="str">
        <f t="shared" si="9"/>
        <v>0056</v>
      </c>
      <c r="H102" s="141" t="s">
        <v>730</v>
      </c>
      <c r="I102" s="141" t="str">
        <f t="shared" si="8"/>
        <v>999</v>
      </c>
      <c r="J102" s="141" t="s">
        <v>4327</v>
      </c>
      <c r="K102" s="141">
        <v>592</v>
      </c>
      <c r="L102" s="141">
        <v>2</v>
      </c>
      <c r="M102" s="141">
        <v>0</v>
      </c>
      <c r="N102" s="141">
        <v>23000</v>
      </c>
      <c r="O102" s="141" t="s">
        <v>4334</v>
      </c>
      <c r="P102" s="141" t="s">
        <v>4412</v>
      </c>
    </row>
    <row r="103" spans="1:16" ht="25.5">
      <c r="A103" s="141">
        <v>76807</v>
      </c>
      <c r="B103" s="141" t="s">
        <v>4325</v>
      </c>
      <c r="C103" s="142">
        <v>41201</v>
      </c>
      <c r="D103" s="141">
        <v>348</v>
      </c>
      <c r="E103" s="141" t="str">
        <f t="shared" si="7"/>
        <v>001</v>
      </c>
      <c r="F103" s="141" t="s">
        <v>4326</v>
      </c>
      <c r="G103" s="141" t="str">
        <f t="shared" si="9"/>
        <v>0056</v>
      </c>
      <c r="H103" s="141" t="s">
        <v>730</v>
      </c>
      <c r="I103" s="141" t="str">
        <f t="shared" si="8"/>
        <v>999</v>
      </c>
      <c r="J103" s="141" t="s">
        <v>4327</v>
      </c>
      <c r="K103" s="141">
        <v>593</v>
      </c>
      <c r="L103" s="141">
        <v>1</v>
      </c>
      <c r="M103" s="141">
        <v>0</v>
      </c>
      <c r="N103" s="141">
        <v>7000</v>
      </c>
      <c r="O103" s="141" t="s">
        <v>4334</v>
      </c>
      <c r="P103" s="141" t="s">
        <v>4360</v>
      </c>
    </row>
    <row r="104" spans="1:16" ht="25.5">
      <c r="A104" s="141">
        <v>76807</v>
      </c>
      <c r="B104" s="141" t="s">
        <v>4325</v>
      </c>
      <c r="C104" s="142">
        <v>41201</v>
      </c>
      <c r="D104" s="141">
        <v>348</v>
      </c>
      <c r="E104" s="141" t="str">
        <f t="shared" si="7"/>
        <v>001</v>
      </c>
      <c r="F104" s="141" t="s">
        <v>4326</v>
      </c>
      <c r="G104" s="141" t="str">
        <f t="shared" si="9"/>
        <v>0056</v>
      </c>
      <c r="H104" s="141" t="s">
        <v>730</v>
      </c>
      <c r="I104" s="141" t="str">
        <f t="shared" si="8"/>
        <v>999</v>
      </c>
      <c r="J104" s="141" t="s">
        <v>4327</v>
      </c>
      <c r="K104" s="141">
        <v>594</v>
      </c>
      <c r="L104" s="141">
        <v>5</v>
      </c>
      <c r="M104" s="141">
        <v>0</v>
      </c>
      <c r="N104" s="141">
        <v>19000</v>
      </c>
      <c r="O104" s="141" t="s">
        <v>4334</v>
      </c>
      <c r="P104" s="141" t="s">
        <v>4362</v>
      </c>
    </row>
    <row r="105" spans="1:16" ht="25.5">
      <c r="A105" s="141">
        <v>76807</v>
      </c>
      <c r="B105" s="141" t="s">
        <v>4325</v>
      </c>
      <c r="C105" s="142">
        <v>41201</v>
      </c>
      <c r="D105" s="141">
        <v>348</v>
      </c>
      <c r="E105" s="141" t="str">
        <f t="shared" si="7"/>
        <v>001</v>
      </c>
      <c r="F105" s="141" t="s">
        <v>4326</v>
      </c>
      <c r="G105" s="141" t="str">
        <f t="shared" si="9"/>
        <v>0056</v>
      </c>
      <c r="H105" s="141" t="s">
        <v>730</v>
      </c>
      <c r="I105" s="141" t="str">
        <f t="shared" si="8"/>
        <v>999</v>
      </c>
      <c r="J105" s="141" t="s">
        <v>4327</v>
      </c>
      <c r="K105" s="141">
        <v>595</v>
      </c>
      <c r="L105" s="141">
        <v>1</v>
      </c>
      <c r="M105" s="141">
        <v>0</v>
      </c>
      <c r="N105" s="141">
        <v>4000</v>
      </c>
      <c r="O105" s="141" t="s">
        <v>4334</v>
      </c>
      <c r="P105" s="141" t="s">
        <v>4413</v>
      </c>
    </row>
    <row r="106" spans="1:16" ht="25.5">
      <c r="A106" s="141">
        <v>76807</v>
      </c>
      <c r="B106" s="141" t="s">
        <v>4325</v>
      </c>
      <c r="C106" s="142">
        <v>41201</v>
      </c>
      <c r="D106" s="141">
        <v>348</v>
      </c>
      <c r="E106" s="141" t="str">
        <f t="shared" si="7"/>
        <v>001</v>
      </c>
      <c r="F106" s="141" t="s">
        <v>4326</v>
      </c>
      <c r="G106" s="141" t="str">
        <f t="shared" si="9"/>
        <v>0056</v>
      </c>
      <c r="H106" s="141" t="s">
        <v>730</v>
      </c>
      <c r="I106" s="141" t="str">
        <f t="shared" si="8"/>
        <v>999</v>
      </c>
      <c r="J106" s="141" t="s">
        <v>4327</v>
      </c>
      <c r="K106" s="141">
        <v>596</v>
      </c>
      <c r="L106" s="141">
        <v>1</v>
      </c>
      <c r="M106" s="141">
        <v>0</v>
      </c>
      <c r="N106" s="141">
        <v>6000</v>
      </c>
      <c r="O106" s="141" t="s">
        <v>4334</v>
      </c>
      <c r="P106" s="141" t="s">
        <v>4414</v>
      </c>
    </row>
    <row r="107" spans="1:16" ht="25.5">
      <c r="A107" s="141">
        <v>76807</v>
      </c>
      <c r="B107" s="141" t="s">
        <v>4325</v>
      </c>
      <c r="C107" s="142">
        <v>41201</v>
      </c>
      <c r="D107" s="141">
        <v>348</v>
      </c>
      <c r="E107" s="141" t="str">
        <f t="shared" si="7"/>
        <v>001</v>
      </c>
      <c r="F107" s="141" t="s">
        <v>4326</v>
      </c>
      <c r="G107" s="141" t="str">
        <f t="shared" si="9"/>
        <v>0056</v>
      </c>
      <c r="H107" s="141" t="s">
        <v>730</v>
      </c>
      <c r="I107" s="141" t="str">
        <f t="shared" si="8"/>
        <v>999</v>
      </c>
      <c r="J107" s="141" t="s">
        <v>4327</v>
      </c>
      <c r="K107" s="141">
        <v>597</v>
      </c>
      <c r="L107" s="141">
        <v>1</v>
      </c>
      <c r="M107" s="141">
        <v>0</v>
      </c>
      <c r="N107" s="141">
        <v>4000</v>
      </c>
      <c r="O107" s="141" t="s">
        <v>4330</v>
      </c>
      <c r="P107" s="141" t="s">
        <v>4348</v>
      </c>
    </row>
    <row r="108" spans="1:16" ht="25.5">
      <c r="A108" s="141">
        <v>76807</v>
      </c>
      <c r="B108" s="141" t="s">
        <v>4325</v>
      </c>
      <c r="C108" s="142">
        <v>41201</v>
      </c>
      <c r="D108" s="141">
        <v>348</v>
      </c>
      <c r="E108" s="141" t="str">
        <f t="shared" si="7"/>
        <v>001</v>
      </c>
      <c r="F108" s="141" t="s">
        <v>4326</v>
      </c>
      <c r="G108" s="141" t="str">
        <f t="shared" si="9"/>
        <v>0056</v>
      </c>
      <c r="H108" s="141" t="s">
        <v>730</v>
      </c>
      <c r="I108" s="141" t="str">
        <f t="shared" si="8"/>
        <v>999</v>
      </c>
      <c r="J108" s="141" t="s">
        <v>4327</v>
      </c>
      <c r="K108" s="141">
        <v>598</v>
      </c>
      <c r="L108" s="141">
        <v>1</v>
      </c>
      <c r="M108" s="141">
        <v>0</v>
      </c>
      <c r="N108" s="141">
        <v>112000</v>
      </c>
      <c r="O108" s="141" t="s">
        <v>4366</v>
      </c>
      <c r="P108" s="141" t="s">
        <v>4367</v>
      </c>
    </row>
    <row r="109" spans="1:16" ht="25.5">
      <c r="A109" s="141">
        <v>76807</v>
      </c>
      <c r="B109" s="141" t="s">
        <v>4325</v>
      </c>
      <c r="C109" s="142">
        <v>41201</v>
      </c>
      <c r="D109" s="141">
        <v>348</v>
      </c>
      <c r="E109" s="141" t="str">
        <f t="shared" si="7"/>
        <v>001</v>
      </c>
      <c r="F109" s="141" t="s">
        <v>4326</v>
      </c>
      <c r="G109" s="141" t="str">
        <f t="shared" si="9"/>
        <v>0056</v>
      </c>
      <c r="H109" s="141" t="s">
        <v>730</v>
      </c>
      <c r="I109" s="141" t="str">
        <f t="shared" si="8"/>
        <v>999</v>
      </c>
      <c r="J109" s="141" t="s">
        <v>4327</v>
      </c>
      <c r="K109" s="141">
        <v>599</v>
      </c>
      <c r="L109" s="141">
        <v>1</v>
      </c>
      <c r="M109" s="141">
        <v>0</v>
      </c>
      <c r="N109" s="141">
        <v>7000</v>
      </c>
      <c r="O109" s="141" t="s">
        <v>4353</v>
      </c>
      <c r="P109" s="141" t="s">
        <v>4415</v>
      </c>
    </row>
    <row r="110" spans="1:16" ht="25.5">
      <c r="A110" s="141">
        <v>76807</v>
      </c>
      <c r="B110" s="141" t="s">
        <v>4325</v>
      </c>
      <c r="C110" s="142">
        <v>41201</v>
      </c>
      <c r="D110" s="141">
        <v>348</v>
      </c>
      <c r="E110" s="141" t="str">
        <f t="shared" si="7"/>
        <v>001</v>
      </c>
      <c r="F110" s="141" t="s">
        <v>4326</v>
      </c>
      <c r="G110" s="141" t="str">
        <f t="shared" si="9"/>
        <v>0056</v>
      </c>
      <c r="H110" s="141" t="s">
        <v>730</v>
      </c>
      <c r="I110" s="141" t="str">
        <f t="shared" si="8"/>
        <v>999</v>
      </c>
      <c r="J110" s="141" t="s">
        <v>4327</v>
      </c>
      <c r="K110" s="141">
        <v>600</v>
      </c>
      <c r="L110" s="141">
        <v>1</v>
      </c>
      <c r="M110" s="141">
        <v>0</v>
      </c>
      <c r="N110" s="141">
        <v>7000</v>
      </c>
      <c r="O110" s="141" t="s">
        <v>4353</v>
      </c>
      <c r="P110" s="141" t="s">
        <v>4415</v>
      </c>
    </row>
    <row r="111" spans="1:16" ht="25.5">
      <c r="A111" s="141">
        <v>76807</v>
      </c>
      <c r="B111" s="141" t="s">
        <v>4325</v>
      </c>
      <c r="C111" s="142">
        <v>41201</v>
      </c>
      <c r="D111" s="141">
        <v>348</v>
      </c>
      <c r="E111" s="141" t="str">
        <f t="shared" si="7"/>
        <v>001</v>
      </c>
      <c r="F111" s="141" t="s">
        <v>4326</v>
      </c>
      <c r="G111" s="141" t="str">
        <f t="shared" si="9"/>
        <v>0056</v>
      </c>
      <c r="H111" s="141" t="s">
        <v>730</v>
      </c>
      <c r="I111" s="141" t="str">
        <f t="shared" si="8"/>
        <v>999</v>
      </c>
      <c r="J111" s="141" t="s">
        <v>4327</v>
      </c>
      <c r="K111" s="141">
        <v>601</v>
      </c>
      <c r="L111" s="141">
        <v>1</v>
      </c>
      <c r="M111" s="141">
        <v>0</v>
      </c>
      <c r="N111" s="141">
        <v>40000</v>
      </c>
      <c r="O111" s="141" t="s">
        <v>4368</v>
      </c>
      <c r="P111" s="141"/>
    </row>
    <row r="112" spans="1:16" ht="25.5">
      <c r="A112" s="141">
        <v>76807</v>
      </c>
      <c r="B112" s="141" t="s">
        <v>4325</v>
      </c>
      <c r="C112" s="142">
        <v>41201</v>
      </c>
      <c r="D112" s="141">
        <v>348</v>
      </c>
      <c r="E112" s="141" t="str">
        <f t="shared" si="7"/>
        <v>001</v>
      </c>
      <c r="F112" s="141" t="s">
        <v>4326</v>
      </c>
      <c r="G112" s="141" t="str">
        <f t="shared" si="9"/>
        <v>0056</v>
      </c>
      <c r="H112" s="141" t="s">
        <v>730</v>
      </c>
      <c r="I112" s="141" t="str">
        <f t="shared" si="8"/>
        <v>999</v>
      </c>
      <c r="J112" s="141" t="s">
        <v>4327</v>
      </c>
      <c r="K112" s="141">
        <v>602</v>
      </c>
      <c r="L112" s="141">
        <v>1</v>
      </c>
      <c r="M112" s="141">
        <v>0</v>
      </c>
      <c r="N112" s="141">
        <v>13000</v>
      </c>
      <c r="O112" s="141" t="s">
        <v>4369</v>
      </c>
      <c r="P112" s="141" t="s">
        <v>4416</v>
      </c>
    </row>
    <row r="113" spans="1:16" ht="25.5">
      <c r="A113" s="141">
        <v>76807</v>
      </c>
      <c r="B113" s="141" t="s">
        <v>4325</v>
      </c>
      <c r="C113" s="142">
        <v>41201</v>
      </c>
      <c r="D113" s="141">
        <v>348</v>
      </c>
      <c r="E113" s="141" t="str">
        <f t="shared" si="7"/>
        <v>001</v>
      </c>
      <c r="F113" s="141" t="s">
        <v>4326</v>
      </c>
      <c r="G113" s="141" t="str">
        <f t="shared" si="9"/>
        <v>0056</v>
      </c>
      <c r="H113" s="141" t="s">
        <v>730</v>
      </c>
      <c r="I113" s="141" t="str">
        <f t="shared" si="8"/>
        <v>999</v>
      </c>
      <c r="J113" s="141" t="s">
        <v>4327</v>
      </c>
      <c r="K113" s="141">
        <v>603</v>
      </c>
      <c r="L113" s="141">
        <v>2</v>
      </c>
      <c r="M113" s="141">
        <v>0</v>
      </c>
      <c r="N113" s="141">
        <v>1000</v>
      </c>
      <c r="O113" s="141" t="s">
        <v>4381</v>
      </c>
      <c r="P113" s="141"/>
    </row>
    <row r="114" spans="1:16" ht="25.5">
      <c r="A114" s="141">
        <v>76807</v>
      </c>
      <c r="B114" s="141" t="s">
        <v>4325</v>
      </c>
      <c r="C114" s="142">
        <v>41201</v>
      </c>
      <c r="D114" s="141">
        <v>348</v>
      </c>
      <c r="E114" s="141" t="str">
        <f t="shared" si="7"/>
        <v>001</v>
      </c>
      <c r="F114" s="141" t="s">
        <v>4326</v>
      </c>
      <c r="G114" s="141" t="str">
        <f t="shared" si="9"/>
        <v>0056</v>
      </c>
      <c r="H114" s="141" t="s">
        <v>730</v>
      </c>
      <c r="I114" s="141" t="str">
        <f t="shared" si="8"/>
        <v>999</v>
      </c>
      <c r="J114" s="141" t="s">
        <v>4327</v>
      </c>
      <c r="K114" s="141">
        <v>604</v>
      </c>
      <c r="L114" s="141">
        <v>2</v>
      </c>
      <c r="M114" s="141">
        <v>0</v>
      </c>
      <c r="N114" s="141">
        <v>5000</v>
      </c>
      <c r="O114" s="141" t="s">
        <v>4347</v>
      </c>
      <c r="P114" s="141"/>
    </row>
    <row r="115" spans="1:16" ht="25.5">
      <c r="A115" s="141">
        <v>76807</v>
      </c>
      <c r="B115" s="141" t="s">
        <v>4325</v>
      </c>
      <c r="C115" s="142">
        <v>41201</v>
      </c>
      <c r="D115" s="141">
        <v>348</v>
      </c>
      <c r="E115" s="141" t="str">
        <f t="shared" si="7"/>
        <v>001</v>
      </c>
      <c r="F115" s="141" t="s">
        <v>4326</v>
      </c>
      <c r="G115" s="141" t="str">
        <f t="shared" si="9"/>
        <v>0056</v>
      </c>
      <c r="H115" s="141" t="s">
        <v>730</v>
      </c>
      <c r="I115" s="141" t="str">
        <f t="shared" si="8"/>
        <v>999</v>
      </c>
      <c r="J115" s="141" t="s">
        <v>4327</v>
      </c>
      <c r="K115" s="141">
        <v>605</v>
      </c>
      <c r="L115" s="141">
        <v>1</v>
      </c>
      <c r="M115" s="141">
        <v>0</v>
      </c>
      <c r="N115" s="141">
        <v>6000</v>
      </c>
      <c r="O115" s="141" t="s">
        <v>4407</v>
      </c>
      <c r="P115" s="141"/>
    </row>
    <row r="116" spans="1:16" ht="25.5">
      <c r="A116" s="141">
        <v>76807</v>
      </c>
      <c r="B116" s="141" t="s">
        <v>4325</v>
      </c>
      <c r="C116" s="142">
        <v>41201</v>
      </c>
      <c r="D116" s="141">
        <v>348</v>
      </c>
      <c r="E116" s="141" t="str">
        <f t="shared" si="7"/>
        <v>001</v>
      </c>
      <c r="F116" s="141" t="s">
        <v>4326</v>
      </c>
      <c r="G116" s="141" t="str">
        <f t="shared" si="9"/>
        <v>0056</v>
      </c>
      <c r="H116" s="141" t="s">
        <v>730</v>
      </c>
      <c r="I116" s="141" t="str">
        <f t="shared" si="8"/>
        <v>999</v>
      </c>
      <c r="J116" s="141" t="s">
        <v>4327</v>
      </c>
      <c r="K116" s="141">
        <v>606</v>
      </c>
      <c r="L116" s="141">
        <v>1</v>
      </c>
      <c r="M116" s="141">
        <v>0</v>
      </c>
      <c r="N116" s="141">
        <v>4000</v>
      </c>
      <c r="O116" s="141" t="s">
        <v>4371</v>
      </c>
      <c r="P116" s="141" t="s">
        <v>4372</v>
      </c>
    </row>
    <row r="117" spans="1:16" ht="25.5">
      <c r="A117" s="141">
        <v>76807</v>
      </c>
      <c r="B117" s="141" t="s">
        <v>4325</v>
      </c>
      <c r="C117" s="142">
        <v>41201</v>
      </c>
      <c r="D117" s="141">
        <v>348</v>
      </c>
      <c r="E117" s="141" t="str">
        <f t="shared" si="7"/>
        <v>001</v>
      </c>
      <c r="F117" s="141" t="s">
        <v>4326</v>
      </c>
      <c r="G117" s="141" t="str">
        <f t="shared" si="9"/>
        <v>0056</v>
      </c>
      <c r="H117" s="141" t="s">
        <v>730</v>
      </c>
      <c r="I117" s="141" t="str">
        <f t="shared" si="8"/>
        <v>999</v>
      </c>
      <c r="J117" s="141" t="s">
        <v>4327</v>
      </c>
      <c r="K117" s="141">
        <v>607</v>
      </c>
      <c r="L117" s="141">
        <v>1</v>
      </c>
      <c r="M117" s="141">
        <v>0</v>
      </c>
      <c r="N117" s="141">
        <v>4000</v>
      </c>
      <c r="O117" s="141" t="s">
        <v>4371</v>
      </c>
      <c r="P117" s="141" t="s">
        <v>4372</v>
      </c>
    </row>
    <row r="118" spans="1:16" ht="25.5">
      <c r="A118" s="141">
        <v>76807</v>
      </c>
      <c r="B118" s="141" t="s">
        <v>4325</v>
      </c>
      <c r="C118" s="142">
        <v>41201</v>
      </c>
      <c r="D118" s="141">
        <v>348</v>
      </c>
      <c r="E118" s="141" t="str">
        <f t="shared" si="7"/>
        <v>001</v>
      </c>
      <c r="F118" s="141" t="s">
        <v>4326</v>
      </c>
      <c r="G118" s="141" t="str">
        <f t="shared" si="9"/>
        <v>0056</v>
      </c>
      <c r="H118" s="141" t="s">
        <v>730</v>
      </c>
      <c r="I118" s="141" t="str">
        <f t="shared" si="8"/>
        <v>999</v>
      </c>
      <c r="J118" s="141" t="s">
        <v>4327</v>
      </c>
      <c r="K118" s="141">
        <v>608</v>
      </c>
      <c r="L118" s="141">
        <v>3</v>
      </c>
      <c r="M118" s="141">
        <v>0</v>
      </c>
      <c r="N118" s="141">
        <v>2000</v>
      </c>
      <c r="O118" s="141" t="s">
        <v>4350</v>
      </c>
      <c r="P118" s="141"/>
    </row>
    <row r="119" spans="1:16" ht="25.5">
      <c r="A119" s="141">
        <v>76807</v>
      </c>
      <c r="B119" s="141" t="s">
        <v>4325</v>
      </c>
      <c r="C119" s="142">
        <v>41201</v>
      </c>
      <c r="D119" s="141">
        <v>348</v>
      </c>
      <c r="E119" s="141" t="str">
        <f t="shared" si="7"/>
        <v>001</v>
      </c>
      <c r="F119" s="141" t="s">
        <v>4326</v>
      </c>
      <c r="G119" s="141" t="str">
        <f t="shared" si="9"/>
        <v>0056</v>
      </c>
      <c r="H119" s="141" t="s">
        <v>730</v>
      </c>
      <c r="I119" s="141" t="str">
        <f t="shared" si="8"/>
        <v>999</v>
      </c>
      <c r="J119" s="141" t="s">
        <v>4327</v>
      </c>
      <c r="K119" s="141">
        <v>609</v>
      </c>
      <c r="L119" s="141">
        <v>1</v>
      </c>
      <c r="M119" s="141">
        <v>0</v>
      </c>
      <c r="N119" s="141">
        <v>1000</v>
      </c>
      <c r="O119" s="141" t="s">
        <v>4343</v>
      </c>
      <c r="P119" s="141"/>
    </row>
    <row r="120" spans="1:16" ht="25.5">
      <c r="A120" s="141">
        <v>76807</v>
      </c>
      <c r="B120" s="141" t="s">
        <v>4325</v>
      </c>
      <c r="C120" s="142">
        <v>41201</v>
      </c>
      <c r="D120" s="141">
        <v>348</v>
      </c>
      <c r="E120" s="141" t="str">
        <f t="shared" si="7"/>
        <v>001</v>
      </c>
      <c r="F120" s="141" t="s">
        <v>4326</v>
      </c>
      <c r="G120" s="141" t="str">
        <f t="shared" si="9"/>
        <v>0056</v>
      </c>
      <c r="H120" s="141" t="s">
        <v>730</v>
      </c>
      <c r="I120" s="141" t="str">
        <f t="shared" si="8"/>
        <v>999</v>
      </c>
      <c r="J120" s="141" t="s">
        <v>4327</v>
      </c>
      <c r="K120" s="141">
        <v>610</v>
      </c>
      <c r="L120" s="141">
        <v>1</v>
      </c>
      <c r="M120" s="141">
        <v>0</v>
      </c>
      <c r="N120" s="141">
        <v>2000</v>
      </c>
      <c r="O120" s="141" t="s">
        <v>4345</v>
      </c>
      <c r="P120" s="141"/>
    </row>
    <row r="121" spans="1:16" ht="25.5">
      <c r="A121" s="141">
        <v>76807</v>
      </c>
      <c r="B121" s="141" t="s">
        <v>4325</v>
      </c>
      <c r="C121" s="142">
        <v>41201</v>
      </c>
      <c r="D121" s="141">
        <v>412</v>
      </c>
      <c r="E121" s="141" t="str">
        <f t="shared" si="7"/>
        <v>001</v>
      </c>
      <c r="F121" s="141" t="s">
        <v>4326</v>
      </c>
      <c r="G121" s="141" t="str">
        <f t="shared" ref="G121:G126" si="10">"0059"</f>
        <v>0059</v>
      </c>
      <c r="H121" s="141" t="s">
        <v>3730</v>
      </c>
      <c r="I121" s="141" t="str">
        <f t="shared" si="8"/>
        <v>999</v>
      </c>
      <c r="J121" s="141" t="s">
        <v>4327</v>
      </c>
      <c r="K121" s="141">
        <v>1122</v>
      </c>
      <c r="L121" s="141">
        <v>4</v>
      </c>
      <c r="M121" s="141">
        <v>0</v>
      </c>
      <c r="N121" s="141">
        <v>3000</v>
      </c>
      <c r="O121" s="141" t="s">
        <v>4343</v>
      </c>
      <c r="P121" s="141"/>
    </row>
    <row r="122" spans="1:16" ht="25.5">
      <c r="A122" s="141">
        <v>76807</v>
      </c>
      <c r="B122" s="141" t="s">
        <v>4325</v>
      </c>
      <c r="C122" s="142">
        <v>41201</v>
      </c>
      <c r="D122" s="141">
        <v>412</v>
      </c>
      <c r="E122" s="141" t="str">
        <f t="shared" si="7"/>
        <v>001</v>
      </c>
      <c r="F122" s="141" t="s">
        <v>4326</v>
      </c>
      <c r="G122" s="141" t="str">
        <f t="shared" si="10"/>
        <v>0059</v>
      </c>
      <c r="H122" s="141" t="s">
        <v>3730</v>
      </c>
      <c r="I122" s="141" t="str">
        <f t="shared" si="8"/>
        <v>999</v>
      </c>
      <c r="J122" s="141" t="s">
        <v>4327</v>
      </c>
      <c r="K122" s="141">
        <v>1123</v>
      </c>
      <c r="L122" s="141">
        <v>6</v>
      </c>
      <c r="M122" s="141">
        <v>0</v>
      </c>
      <c r="N122" s="141">
        <v>13000</v>
      </c>
      <c r="O122" s="141" t="s">
        <v>4408</v>
      </c>
      <c r="P122" s="141"/>
    </row>
    <row r="123" spans="1:16" ht="25.5">
      <c r="A123" s="141">
        <v>76807</v>
      </c>
      <c r="B123" s="141" t="s">
        <v>4325</v>
      </c>
      <c r="C123" s="142">
        <v>41201</v>
      </c>
      <c r="D123" s="141">
        <v>412</v>
      </c>
      <c r="E123" s="141" t="str">
        <f t="shared" si="7"/>
        <v>001</v>
      </c>
      <c r="F123" s="141" t="s">
        <v>4326</v>
      </c>
      <c r="G123" s="141" t="str">
        <f t="shared" si="10"/>
        <v>0059</v>
      </c>
      <c r="H123" s="141" t="s">
        <v>3730</v>
      </c>
      <c r="I123" s="141" t="str">
        <f t="shared" si="8"/>
        <v>999</v>
      </c>
      <c r="J123" s="141" t="s">
        <v>4327</v>
      </c>
      <c r="K123" s="141">
        <v>1124</v>
      </c>
      <c r="L123" s="141">
        <v>1</v>
      </c>
      <c r="M123" s="141">
        <v>0</v>
      </c>
      <c r="N123" s="141">
        <v>1000</v>
      </c>
      <c r="O123" s="141" t="s">
        <v>4381</v>
      </c>
      <c r="P123" s="141"/>
    </row>
    <row r="124" spans="1:16" ht="25.5">
      <c r="A124" s="141">
        <v>76807</v>
      </c>
      <c r="B124" s="141" t="s">
        <v>4325</v>
      </c>
      <c r="C124" s="142">
        <v>41201</v>
      </c>
      <c r="D124" s="141">
        <v>412</v>
      </c>
      <c r="E124" s="141" t="str">
        <f t="shared" si="7"/>
        <v>001</v>
      </c>
      <c r="F124" s="141" t="s">
        <v>4326</v>
      </c>
      <c r="G124" s="141" t="str">
        <f t="shared" si="10"/>
        <v>0059</v>
      </c>
      <c r="H124" s="141" t="s">
        <v>3730</v>
      </c>
      <c r="I124" s="141" t="str">
        <f t="shared" si="8"/>
        <v>999</v>
      </c>
      <c r="J124" s="141" t="s">
        <v>4327</v>
      </c>
      <c r="K124" s="141">
        <v>1125</v>
      </c>
      <c r="L124" s="141">
        <v>10</v>
      </c>
      <c r="M124" s="141">
        <v>0</v>
      </c>
      <c r="N124" s="141">
        <v>84000</v>
      </c>
      <c r="O124" s="141" t="s">
        <v>4357</v>
      </c>
      <c r="P124" s="141" t="s">
        <v>4417</v>
      </c>
    </row>
    <row r="125" spans="1:16" ht="25.5">
      <c r="A125" s="141">
        <v>76807</v>
      </c>
      <c r="B125" s="141" t="s">
        <v>4325</v>
      </c>
      <c r="C125" s="142">
        <v>41201</v>
      </c>
      <c r="D125" s="141">
        <v>412</v>
      </c>
      <c r="E125" s="141" t="str">
        <f t="shared" si="7"/>
        <v>001</v>
      </c>
      <c r="F125" s="141" t="s">
        <v>4326</v>
      </c>
      <c r="G125" s="141" t="str">
        <f t="shared" si="10"/>
        <v>0059</v>
      </c>
      <c r="H125" s="141" t="s">
        <v>3730</v>
      </c>
      <c r="I125" s="141" t="str">
        <f t="shared" si="8"/>
        <v>999</v>
      </c>
      <c r="J125" s="141" t="s">
        <v>4327</v>
      </c>
      <c r="K125" s="141">
        <v>1126</v>
      </c>
      <c r="L125" s="141">
        <v>1</v>
      </c>
      <c r="M125" s="141">
        <v>0</v>
      </c>
      <c r="N125" s="141">
        <v>112000</v>
      </c>
      <c r="O125" s="141" t="s">
        <v>4366</v>
      </c>
      <c r="P125" s="141" t="s">
        <v>4367</v>
      </c>
    </row>
    <row r="126" spans="1:16" ht="25.5">
      <c r="A126" s="141">
        <v>76807</v>
      </c>
      <c r="B126" s="141" t="s">
        <v>4325</v>
      </c>
      <c r="C126" s="142">
        <v>41201</v>
      </c>
      <c r="D126" s="141">
        <v>412</v>
      </c>
      <c r="E126" s="141" t="str">
        <f t="shared" si="7"/>
        <v>001</v>
      </c>
      <c r="F126" s="141" t="s">
        <v>4326</v>
      </c>
      <c r="G126" s="141" t="str">
        <f t="shared" si="10"/>
        <v>0059</v>
      </c>
      <c r="H126" s="141" t="s">
        <v>3730</v>
      </c>
      <c r="I126" s="141" t="str">
        <f t="shared" si="8"/>
        <v>999</v>
      </c>
      <c r="J126" s="141" t="s">
        <v>4327</v>
      </c>
      <c r="K126" s="141">
        <v>1127</v>
      </c>
      <c r="L126" s="141">
        <v>1</v>
      </c>
      <c r="M126" s="141">
        <v>0</v>
      </c>
      <c r="N126" s="141">
        <v>2000</v>
      </c>
      <c r="O126" s="141" t="s">
        <v>4328</v>
      </c>
      <c r="P126" s="141" t="s">
        <v>4355</v>
      </c>
    </row>
    <row r="127" spans="1:16" ht="25.5">
      <c r="A127" s="141">
        <v>76807</v>
      </c>
      <c r="B127" s="141" t="s">
        <v>4325</v>
      </c>
      <c r="C127" s="142">
        <v>41201</v>
      </c>
      <c r="D127" s="141">
        <v>458</v>
      </c>
      <c r="E127" s="141" t="str">
        <f t="shared" si="7"/>
        <v>001</v>
      </c>
      <c r="F127" s="141" t="s">
        <v>4326</v>
      </c>
      <c r="G127" s="141" t="str">
        <f t="shared" ref="G127:G132" si="11">"0060"</f>
        <v>0060</v>
      </c>
      <c r="H127" s="141" t="s">
        <v>1613</v>
      </c>
      <c r="I127" s="141" t="str">
        <f t="shared" si="8"/>
        <v>999</v>
      </c>
      <c r="J127" s="141" t="s">
        <v>4327</v>
      </c>
      <c r="K127" s="141">
        <v>955</v>
      </c>
      <c r="L127" s="141">
        <v>1</v>
      </c>
      <c r="M127" s="141">
        <v>0</v>
      </c>
      <c r="N127" s="141">
        <v>16000</v>
      </c>
      <c r="O127" s="141" t="s">
        <v>4353</v>
      </c>
      <c r="P127" s="141" t="s">
        <v>4418</v>
      </c>
    </row>
    <row r="128" spans="1:16" ht="25.5">
      <c r="A128" s="141">
        <v>76807</v>
      </c>
      <c r="B128" s="141" t="s">
        <v>4325</v>
      </c>
      <c r="C128" s="142">
        <v>41201</v>
      </c>
      <c r="D128" s="141">
        <v>458</v>
      </c>
      <c r="E128" s="141" t="str">
        <f t="shared" si="7"/>
        <v>001</v>
      </c>
      <c r="F128" s="141" t="s">
        <v>4326</v>
      </c>
      <c r="G128" s="141" t="str">
        <f t="shared" si="11"/>
        <v>0060</v>
      </c>
      <c r="H128" s="141" t="s">
        <v>1613</v>
      </c>
      <c r="I128" s="141" t="str">
        <f t="shared" si="8"/>
        <v>999</v>
      </c>
      <c r="J128" s="141" t="s">
        <v>4327</v>
      </c>
      <c r="K128" s="141">
        <v>956</v>
      </c>
      <c r="L128" s="141">
        <v>8</v>
      </c>
      <c r="M128" s="141">
        <v>0</v>
      </c>
      <c r="N128" s="141">
        <v>67000</v>
      </c>
      <c r="O128" s="141" t="s">
        <v>4334</v>
      </c>
      <c r="P128" s="141" t="s">
        <v>4419</v>
      </c>
    </row>
    <row r="129" spans="1:16" ht="25.5">
      <c r="A129" s="141">
        <v>76807</v>
      </c>
      <c r="B129" s="141" t="s">
        <v>4325</v>
      </c>
      <c r="C129" s="142">
        <v>41201</v>
      </c>
      <c r="D129" s="141">
        <v>458</v>
      </c>
      <c r="E129" s="141" t="str">
        <f t="shared" si="7"/>
        <v>001</v>
      </c>
      <c r="F129" s="141" t="s">
        <v>4326</v>
      </c>
      <c r="G129" s="141" t="str">
        <f t="shared" si="11"/>
        <v>0060</v>
      </c>
      <c r="H129" s="141" t="s">
        <v>1613</v>
      </c>
      <c r="I129" s="141" t="str">
        <f t="shared" si="8"/>
        <v>999</v>
      </c>
      <c r="J129" s="141" t="s">
        <v>4327</v>
      </c>
      <c r="K129" s="141">
        <v>957</v>
      </c>
      <c r="L129" s="141">
        <v>8</v>
      </c>
      <c r="M129" s="141">
        <v>0</v>
      </c>
      <c r="N129" s="141">
        <v>6000</v>
      </c>
      <c r="O129" s="141" t="s">
        <v>4343</v>
      </c>
      <c r="P129" s="141"/>
    </row>
    <row r="130" spans="1:16" ht="25.5">
      <c r="A130" s="141">
        <v>76807</v>
      </c>
      <c r="B130" s="141" t="s">
        <v>4325</v>
      </c>
      <c r="C130" s="142">
        <v>41201</v>
      </c>
      <c r="D130" s="141">
        <v>458</v>
      </c>
      <c r="E130" s="141" t="str">
        <f t="shared" ref="E130:E193" si="12">"001"</f>
        <v>001</v>
      </c>
      <c r="F130" s="141" t="s">
        <v>4326</v>
      </c>
      <c r="G130" s="141" t="str">
        <f t="shared" si="11"/>
        <v>0060</v>
      </c>
      <c r="H130" s="141" t="s">
        <v>1613</v>
      </c>
      <c r="I130" s="141" t="str">
        <f t="shared" ref="I130:I193" si="13">"999"</f>
        <v>999</v>
      </c>
      <c r="J130" s="141" t="s">
        <v>4327</v>
      </c>
      <c r="K130" s="141">
        <v>958</v>
      </c>
      <c r="L130" s="141">
        <v>10</v>
      </c>
      <c r="M130" s="141">
        <v>0</v>
      </c>
      <c r="N130" s="141">
        <v>17000</v>
      </c>
      <c r="O130" s="141" t="s">
        <v>4334</v>
      </c>
      <c r="P130" s="141" t="s">
        <v>4363</v>
      </c>
    </row>
    <row r="131" spans="1:16" ht="25.5">
      <c r="A131" s="141">
        <v>76807</v>
      </c>
      <c r="B131" s="141" t="s">
        <v>4325</v>
      </c>
      <c r="C131" s="142">
        <v>41201</v>
      </c>
      <c r="D131" s="141">
        <v>458</v>
      </c>
      <c r="E131" s="141" t="str">
        <f t="shared" si="12"/>
        <v>001</v>
      </c>
      <c r="F131" s="141" t="s">
        <v>4326</v>
      </c>
      <c r="G131" s="141" t="str">
        <f t="shared" si="11"/>
        <v>0060</v>
      </c>
      <c r="H131" s="141" t="s">
        <v>1613</v>
      </c>
      <c r="I131" s="141" t="str">
        <f t="shared" si="13"/>
        <v>999</v>
      </c>
      <c r="J131" s="141" t="s">
        <v>4327</v>
      </c>
      <c r="K131" s="141">
        <v>959</v>
      </c>
      <c r="L131" s="141">
        <v>2</v>
      </c>
      <c r="M131" s="141">
        <v>0</v>
      </c>
      <c r="N131" s="141">
        <v>4000</v>
      </c>
      <c r="O131" s="141" t="s">
        <v>4408</v>
      </c>
      <c r="P131" s="141"/>
    </row>
    <row r="132" spans="1:16" ht="25.5">
      <c r="A132" s="141">
        <v>76807</v>
      </c>
      <c r="B132" s="141" t="s">
        <v>4325</v>
      </c>
      <c r="C132" s="142">
        <v>41201</v>
      </c>
      <c r="D132" s="141">
        <v>458</v>
      </c>
      <c r="E132" s="141" t="str">
        <f t="shared" si="12"/>
        <v>001</v>
      </c>
      <c r="F132" s="141" t="s">
        <v>4326</v>
      </c>
      <c r="G132" s="141" t="str">
        <f t="shared" si="11"/>
        <v>0060</v>
      </c>
      <c r="H132" s="141" t="s">
        <v>1613</v>
      </c>
      <c r="I132" s="141" t="str">
        <f t="shared" si="13"/>
        <v>999</v>
      </c>
      <c r="J132" s="141" t="s">
        <v>4327</v>
      </c>
      <c r="K132" s="141">
        <v>960</v>
      </c>
      <c r="L132" s="141">
        <v>4</v>
      </c>
      <c r="M132" s="141">
        <v>0</v>
      </c>
      <c r="N132" s="141">
        <v>13000</v>
      </c>
      <c r="O132" s="141" t="s">
        <v>4334</v>
      </c>
      <c r="P132" s="141" t="s">
        <v>4335</v>
      </c>
    </row>
    <row r="133" spans="1:16" ht="25.5">
      <c r="A133" s="141">
        <v>76807</v>
      </c>
      <c r="B133" s="141" t="s">
        <v>4325</v>
      </c>
      <c r="C133" s="142">
        <v>41201</v>
      </c>
      <c r="D133" s="141">
        <v>347</v>
      </c>
      <c r="E133" s="141" t="str">
        <f t="shared" si="12"/>
        <v>001</v>
      </c>
      <c r="F133" s="141" t="s">
        <v>4326</v>
      </c>
      <c r="G133" s="141" t="str">
        <f>"0069"</f>
        <v>0069</v>
      </c>
      <c r="H133" s="141" t="s">
        <v>726</v>
      </c>
      <c r="I133" s="141" t="str">
        <f t="shared" si="13"/>
        <v>999</v>
      </c>
      <c r="J133" s="141" t="s">
        <v>4327</v>
      </c>
      <c r="K133" s="141">
        <v>589</v>
      </c>
      <c r="L133" s="141">
        <v>1</v>
      </c>
      <c r="M133" s="141">
        <v>0</v>
      </c>
      <c r="N133" s="141">
        <v>24000</v>
      </c>
      <c r="O133" s="141" t="s">
        <v>4420</v>
      </c>
      <c r="P133" s="141" t="s">
        <v>4421</v>
      </c>
    </row>
    <row r="134" spans="1:16" ht="25.5">
      <c r="A134" s="141">
        <v>76807</v>
      </c>
      <c r="B134" s="141" t="s">
        <v>4325</v>
      </c>
      <c r="C134" s="142">
        <v>41201</v>
      </c>
      <c r="D134" s="141">
        <v>1149</v>
      </c>
      <c r="E134" s="141" t="str">
        <f t="shared" si="12"/>
        <v>001</v>
      </c>
      <c r="F134" s="141" t="s">
        <v>4326</v>
      </c>
      <c r="G134" s="141" t="str">
        <f>"0071"</f>
        <v>0071</v>
      </c>
      <c r="H134" s="141" t="s">
        <v>540</v>
      </c>
      <c r="I134" s="141" t="str">
        <f t="shared" si="13"/>
        <v>999</v>
      </c>
      <c r="J134" s="141" t="s">
        <v>4327</v>
      </c>
      <c r="K134" s="141">
        <v>2929</v>
      </c>
      <c r="L134" s="141">
        <v>1</v>
      </c>
      <c r="M134" s="141">
        <v>0</v>
      </c>
      <c r="N134" s="141">
        <v>28000</v>
      </c>
      <c r="O134" s="141" t="s">
        <v>4422</v>
      </c>
      <c r="P134" s="141" t="s">
        <v>4423</v>
      </c>
    </row>
    <row r="135" spans="1:16" ht="25.5">
      <c r="A135" s="141">
        <v>76807</v>
      </c>
      <c r="B135" s="141" t="s">
        <v>4325</v>
      </c>
      <c r="C135" s="142">
        <v>41201</v>
      </c>
      <c r="D135" s="141">
        <v>374</v>
      </c>
      <c r="E135" s="141" t="str">
        <f t="shared" si="12"/>
        <v>001</v>
      </c>
      <c r="F135" s="141" t="s">
        <v>4326</v>
      </c>
      <c r="G135" s="141" t="str">
        <f>"0073"</f>
        <v>0073</v>
      </c>
      <c r="H135" s="141" t="s">
        <v>729</v>
      </c>
      <c r="I135" s="141" t="str">
        <f t="shared" si="13"/>
        <v>999</v>
      </c>
      <c r="J135" s="141" t="s">
        <v>4327</v>
      </c>
      <c r="K135" s="141">
        <v>825</v>
      </c>
      <c r="L135" s="141">
        <v>1</v>
      </c>
      <c r="M135" s="141">
        <v>0</v>
      </c>
      <c r="N135" s="141">
        <v>7000</v>
      </c>
      <c r="O135" s="141" t="s">
        <v>4337</v>
      </c>
      <c r="P135" s="141" t="s">
        <v>4336</v>
      </c>
    </row>
    <row r="136" spans="1:16" ht="25.5">
      <c r="A136" s="141">
        <v>76807</v>
      </c>
      <c r="B136" s="141" t="s">
        <v>4325</v>
      </c>
      <c r="C136" s="142">
        <v>41201</v>
      </c>
      <c r="D136" s="141">
        <v>374</v>
      </c>
      <c r="E136" s="141" t="str">
        <f t="shared" si="12"/>
        <v>001</v>
      </c>
      <c r="F136" s="141" t="s">
        <v>4326</v>
      </c>
      <c r="G136" s="141" t="str">
        <f>"0073"</f>
        <v>0073</v>
      </c>
      <c r="H136" s="141" t="s">
        <v>729</v>
      </c>
      <c r="I136" s="141" t="str">
        <f t="shared" si="13"/>
        <v>999</v>
      </c>
      <c r="J136" s="141" t="s">
        <v>4327</v>
      </c>
      <c r="K136" s="141">
        <v>826</v>
      </c>
      <c r="L136" s="141">
        <v>6</v>
      </c>
      <c r="M136" s="141">
        <v>0</v>
      </c>
      <c r="N136" s="141">
        <v>20000</v>
      </c>
      <c r="O136" s="141" t="s">
        <v>4339</v>
      </c>
      <c r="P136" s="141" t="s">
        <v>4361</v>
      </c>
    </row>
    <row r="137" spans="1:16" ht="25.5">
      <c r="A137" s="141">
        <v>76807</v>
      </c>
      <c r="B137" s="141" t="s">
        <v>4325</v>
      </c>
      <c r="C137" s="142">
        <v>41201</v>
      </c>
      <c r="D137" s="141">
        <v>374</v>
      </c>
      <c r="E137" s="141" t="str">
        <f t="shared" si="12"/>
        <v>001</v>
      </c>
      <c r="F137" s="141" t="s">
        <v>4326</v>
      </c>
      <c r="G137" s="141" t="str">
        <f>"0073"</f>
        <v>0073</v>
      </c>
      <c r="H137" s="141" t="s">
        <v>729</v>
      </c>
      <c r="I137" s="141" t="str">
        <f t="shared" si="13"/>
        <v>999</v>
      </c>
      <c r="J137" s="141" t="s">
        <v>4327</v>
      </c>
      <c r="K137" s="141">
        <v>827</v>
      </c>
      <c r="L137" s="141">
        <v>1</v>
      </c>
      <c r="M137" s="141">
        <v>0</v>
      </c>
      <c r="N137" s="141">
        <v>21000</v>
      </c>
      <c r="O137" s="141" t="s">
        <v>4424</v>
      </c>
      <c r="P137" s="141" t="s">
        <v>4425</v>
      </c>
    </row>
    <row r="138" spans="1:16" ht="25.5">
      <c r="A138" s="141">
        <v>76807</v>
      </c>
      <c r="B138" s="141" t="s">
        <v>4325</v>
      </c>
      <c r="C138" s="142">
        <v>41201</v>
      </c>
      <c r="D138" s="141">
        <v>374</v>
      </c>
      <c r="E138" s="141" t="str">
        <f t="shared" si="12"/>
        <v>001</v>
      </c>
      <c r="F138" s="141" t="s">
        <v>4326</v>
      </c>
      <c r="G138" s="141" t="str">
        <f>"0073"</f>
        <v>0073</v>
      </c>
      <c r="H138" s="141" t="s">
        <v>729</v>
      </c>
      <c r="I138" s="141" t="str">
        <f t="shared" si="13"/>
        <v>999</v>
      </c>
      <c r="J138" s="141" t="s">
        <v>4327</v>
      </c>
      <c r="K138" s="141">
        <v>828</v>
      </c>
      <c r="L138" s="141">
        <v>1</v>
      </c>
      <c r="M138" s="141">
        <v>0</v>
      </c>
      <c r="N138" s="141">
        <v>4000</v>
      </c>
      <c r="O138" s="141" t="s">
        <v>4426</v>
      </c>
      <c r="P138" s="141"/>
    </row>
    <row r="139" spans="1:16" ht="25.5">
      <c r="A139" s="141">
        <v>76807</v>
      </c>
      <c r="B139" s="141" t="s">
        <v>4325</v>
      </c>
      <c r="C139" s="142">
        <v>41201</v>
      </c>
      <c r="D139" s="141">
        <v>374</v>
      </c>
      <c r="E139" s="141" t="str">
        <f t="shared" si="12"/>
        <v>001</v>
      </c>
      <c r="F139" s="141" t="s">
        <v>4326</v>
      </c>
      <c r="G139" s="141" t="str">
        <f>"0073"</f>
        <v>0073</v>
      </c>
      <c r="H139" s="141" t="s">
        <v>729</v>
      </c>
      <c r="I139" s="141" t="str">
        <f t="shared" si="13"/>
        <v>999</v>
      </c>
      <c r="J139" s="141" t="s">
        <v>4327</v>
      </c>
      <c r="K139" s="141">
        <v>829</v>
      </c>
      <c r="L139" s="141">
        <v>4</v>
      </c>
      <c r="M139" s="141">
        <v>0</v>
      </c>
      <c r="N139" s="141">
        <v>2000</v>
      </c>
      <c r="O139" s="141" t="s">
        <v>4350</v>
      </c>
      <c r="P139" s="141"/>
    </row>
    <row r="140" spans="1:16" ht="25.5">
      <c r="A140" s="141">
        <v>76807</v>
      </c>
      <c r="B140" s="141" t="s">
        <v>4325</v>
      </c>
      <c r="C140" s="142">
        <v>41201</v>
      </c>
      <c r="D140" s="141">
        <v>739</v>
      </c>
      <c r="E140" s="141" t="str">
        <f t="shared" si="12"/>
        <v>001</v>
      </c>
      <c r="F140" s="141" t="s">
        <v>4326</v>
      </c>
      <c r="G140" s="141" t="str">
        <f>"0082"</f>
        <v>0082</v>
      </c>
      <c r="H140" s="141" t="s">
        <v>997</v>
      </c>
      <c r="I140" s="141" t="str">
        <f t="shared" si="13"/>
        <v>999</v>
      </c>
      <c r="J140" s="141" t="s">
        <v>4327</v>
      </c>
      <c r="K140" s="141">
        <v>2390</v>
      </c>
      <c r="L140" s="141">
        <v>1</v>
      </c>
      <c r="M140" s="141">
        <v>0</v>
      </c>
      <c r="N140" s="141">
        <v>11000</v>
      </c>
      <c r="O140" s="141" t="s">
        <v>4427</v>
      </c>
      <c r="P140" s="141" t="s">
        <v>4428</v>
      </c>
    </row>
    <row r="141" spans="1:16" ht="25.5">
      <c r="A141" s="141">
        <v>76807</v>
      </c>
      <c r="B141" s="141" t="s">
        <v>4325</v>
      </c>
      <c r="C141" s="142">
        <v>41201</v>
      </c>
      <c r="D141" s="141">
        <v>739</v>
      </c>
      <c r="E141" s="141" t="str">
        <f t="shared" si="12"/>
        <v>001</v>
      </c>
      <c r="F141" s="141" t="s">
        <v>4326</v>
      </c>
      <c r="G141" s="141" t="str">
        <f>"0082"</f>
        <v>0082</v>
      </c>
      <c r="H141" s="141" t="s">
        <v>997</v>
      </c>
      <c r="I141" s="141" t="str">
        <f t="shared" si="13"/>
        <v>999</v>
      </c>
      <c r="J141" s="141" t="s">
        <v>4327</v>
      </c>
      <c r="K141" s="141">
        <v>2391</v>
      </c>
      <c r="L141" s="141">
        <v>1</v>
      </c>
      <c r="M141" s="141">
        <v>0</v>
      </c>
      <c r="N141" s="141">
        <v>6000</v>
      </c>
      <c r="O141" s="141" t="s">
        <v>4420</v>
      </c>
      <c r="P141" s="141" t="s">
        <v>4355</v>
      </c>
    </row>
    <row r="142" spans="1:16" ht="25.5">
      <c r="A142" s="141">
        <v>76807</v>
      </c>
      <c r="B142" s="141" t="s">
        <v>4325</v>
      </c>
      <c r="C142" s="142">
        <v>41201</v>
      </c>
      <c r="D142" s="141">
        <v>739</v>
      </c>
      <c r="E142" s="141" t="str">
        <f t="shared" si="12"/>
        <v>001</v>
      </c>
      <c r="F142" s="141" t="s">
        <v>4326</v>
      </c>
      <c r="G142" s="141" t="str">
        <f>"0082"</f>
        <v>0082</v>
      </c>
      <c r="H142" s="141" t="s">
        <v>997</v>
      </c>
      <c r="I142" s="141" t="str">
        <f t="shared" si="13"/>
        <v>999</v>
      </c>
      <c r="J142" s="141" t="s">
        <v>4327</v>
      </c>
      <c r="K142" s="141">
        <v>2392</v>
      </c>
      <c r="L142" s="141">
        <v>3</v>
      </c>
      <c r="M142" s="141">
        <v>0</v>
      </c>
      <c r="N142" s="141">
        <v>4000</v>
      </c>
      <c r="O142" s="141" t="s">
        <v>4334</v>
      </c>
      <c r="P142" s="141" t="s">
        <v>4363</v>
      </c>
    </row>
    <row r="143" spans="1:16" ht="25.5">
      <c r="A143" s="141">
        <v>76807</v>
      </c>
      <c r="B143" s="141" t="s">
        <v>4325</v>
      </c>
      <c r="C143" s="142">
        <v>41201</v>
      </c>
      <c r="D143" s="141">
        <v>739</v>
      </c>
      <c r="E143" s="141" t="str">
        <f t="shared" si="12"/>
        <v>001</v>
      </c>
      <c r="F143" s="141" t="s">
        <v>4326</v>
      </c>
      <c r="G143" s="141" t="str">
        <f>"0082"</f>
        <v>0082</v>
      </c>
      <c r="H143" s="141" t="s">
        <v>997</v>
      </c>
      <c r="I143" s="141" t="str">
        <f t="shared" si="13"/>
        <v>999</v>
      </c>
      <c r="J143" s="141" t="s">
        <v>4327</v>
      </c>
      <c r="K143" s="141">
        <v>2393</v>
      </c>
      <c r="L143" s="141">
        <v>1</v>
      </c>
      <c r="M143" s="141">
        <v>0</v>
      </c>
      <c r="N143" s="141">
        <v>2000</v>
      </c>
      <c r="O143" s="141" t="s">
        <v>4408</v>
      </c>
      <c r="P143" s="141"/>
    </row>
    <row r="144" spans="1:16" ht="25.5">
      <c r="A144" s="141">
        <v>76807</v>
      </c>
      <c r="B144" s="141" t="s">
        <v>4325</v>
      </c>
      <c r="C144" s="142">
        <v>41201</v>
      </c>
      <c r="D144" s="141">
        <v>739</v>
      </c>
      <c r="E144" s="141" t="str">
        <f t="shared" si="12"/>
        <v>001</v>
      </c>
      <c r="F144" s="141" t="s">
        <v>4326</v>
      </c>
      <c r="G144" s="141" t="str">
        <f>"0082"</f>
        <v>0082</v>
      </c>
      <c r="H144" s="141" t="s">
        <v>997</v>
      </c>
      <c r="I144" s="141" t="str">
        <f t="shared" si="13"/>
        <v>999</v>
      </c>
      <c r="J144" s="141" t="s">
        <v>4327</v>
      </c>
      <c r="K144" s="141">
        <v>2394</v>
      </c>
      <c r="L144" s="141">
        <v>1</v>
      </c>
      <c r="M144" s="141">
        <v>0</v>
      </c>
      <c r="N144" s="141">
        <v>2000</v>
      </c>
      <c r="O144" s="141" t="s">
        <v>4347</v>
      </c>
      <c r="P144" s="141"/>
    </row>
    <row r="145" spans="1:16" ht="25.5">
      <c r="A145" s="141">
        <v>76807</v>
      </c>
      <c r="B145" s="141" t="s">
        <v>4325</v>
      </c>
      <c r="C145" s="142">
        <v>41201</v>
      </c>
      <c r="D145" s="141">
        <v>344</v>
      </c>
      <c r="E145" s="141" t="str">
        <f t="shared" si="12"/>
        <v>001</v>
      </c>
      <c r="F145" s="141" t="s">
        <v>4326</v>
      </c>
      <c r="G145" s="141" t="str">
        <f>"0087"</f>
        <v>0087</v>
      </c>
      <c r="H145" s="141" t="s">
        <v>706</v>
      </c>
      <c r="I145" s="141" t="str">
        <f t="shared" si="13"/>
        <v>999</v>
      </c>
      <c r="J145" s="141" t="s">
        <v>4327</v>
      </c>
      <c r="K145" s="141">
        <v>565</v>
      </c>
      <c r="L145" s="141">
        <v>1</v>
      </c>
      <c r="M145" s="141">
        <v>0</v>
      </c>
      <c r="N145" s="141">
        <v>20000</v>
      </c>
      <c r="O145" s="141" t="s">
        <v>4328</v>
      </c>
      <c r="P145" s="141" t="s">
        <v>4429</v>
      </c>
    </row>
    <row r="146" spans="1:16" ht="25.5">
      <c r="A146" s="141">
        <v>76807</v>
      </c>
      <c r="B146" s="141" t="s">
        <v>4325</v>
      </c>
      <c r="C146" s="142">
        <v>41201</v>
      </c>
      <c r="D146" s="141">
        <v>344</v>
      </c>
      <c r="E146" s="141" t="str">
        <f t="shared" si="12"/>
        <v>001</v>
      </c>
      <c r="F146" s="141" t="s">
        <v>4326</v>
      </c>
      <c r="G146" s="141" t="str">
        <f>"0087"</f>
        <v>0087</v>
      </c>
      <c r="H146" s="141" t="s">
        <v>706</v>
      </c>
      <c r="I146" s="141" t="str">
        <f t="shared" si="13"/>
        <v>999</v>
      </c>
      <c r="J146" s="141" t="s">
        <v>4327</v>
      </c>
      <c r="K146" s="141">
        <v>566</v>
      </c>
      <c r="L146" s="141">
        <v>2</v>
      </c>
      <c r="M146" s="141">
        <v>0</v>
      </c>
      <c r="N146" s="141">
        <v>3000</v>
      </c>
      <c r="O146" s="141" t="s">
        <v>4409</v>
      </c>
      <c r="P146" s="141" t="s">
        <v>4340</v>
      </c>
    </row>
    <row r="147" spans="1:16" ht="25.5">
      <c r="A147" s="141">
        <v>76807</v>
      </c>
      <c r="B147" s="141" t="s">
        <v>4325</v>
      </c>
      <c r="C147" s="142">
        <v>41201</v>
      </c>
      <c r="D147" s="141">
        <v>344</v>
      </c>
      <c r="E147" s="141" t="str">
        <f t="shared" si="12"/>
        <v>001</v>
      </c>
      <c r="F147" s="141" t="s">
        <v>4326</v>
      </c>
      <c r="G147" s="141" t="str">
        <f>"0087"</f>
        <v>0087</v>
      </c>
      <c r="H147" s="141" t="s">
        <v>706</v>
      </c>
      <c r="I147" s="141" t="str">
        <f t="shared" si="13"/>
        <v>999</v>
      </c>
      <c r="J147" s="141" t="s">
        <v>4327</v>
      </c>
      <c r="K147" s="141">
        <v>567</v>
      </c>
      <c r="L147" s="141">
        <v>2</v>
      </c>
      <c r="M147" s="141">
        <v>0</v>
      </c>
      <c r="N147" s="141">
        <v>3000</v>
      </c>
      <c r="O147" s="141" t="s">
        <v>4409</v>
      </c>
      <c r="P147" s="141" t="s">
        <v>4340</v>
      </c>
    </row>
    <row r="148" spans="1:16" ht="25.5">
      <c r="A148" s="141">
        <v>76807</v>
      </c>
      <c r="B148" s="141" t="s">
        <v>4325</v>
      </c>
      <c r="C148" s="142">
        <v>41201</v>
      </c>
      <c r="D148" s="141">
        <v>372</v>
      </c>
      <c r="E148" s="141" t="str">
        <f t="shared" si="12"/>
        <v>001</v>
      </c>
      <c r="F148" s="141" t="s">
        <v>4326</v>
      </c>
      <c r="G148" s="141" t="str">
        <f>"0174"</f>
        <v>0174</v>
      </c>
      <c r="H148" s="141" t="s">
        <v>719</v>
      </c>
      <c r="I148" s="141" t="str">
        <f t="shared" si="13"/>
        <v>999</v>
      </c>
      <c r="J148" s="141" t="s">
        <v>4327</v>
      </c>
      <c r="K148" s="141">
        <v>818</v>
      </c>
      <c r="L148" s="141">
        <v>1</v>
      </c>
      <c r="M148" s="141">
        <v>0</v>
      </c>
      <c r="N148" s="141">
        <v>4000</v>
      </c>
      <c r="O148" s="141" t="s">
        <v>4351</v>
      </c>
      <c r="P148" s="141" t="s">
        <v>4430</v>
      </c>
    </row>
    <row r="149" spans="1:16" ht="25.5">
      <c r="A149" s="141">
        <v>76807</v>
      </c>
      <c r="B149" s="141" t="s">
        <v>4325</v>
      </c>
      <c r="C149" s="142">
        <v>41201</v>
      </c>
      <c r="D149" s="141">
        <v>372</v>
      </c>
      <c r="E149" s="141" t="str">
        <f t="shared" si="12"/>
        <v>001</v>
      </c>
      <c r="F149" s="141" t="s">
        <v>4326</v>
      </c>
      <c r="G149" s="141" t="str">
        <f>"0174"</f>
        <v>0174</v>
      </c>
      <c r="H149" s="141" t="s">
        <v>719</v>
      </c>
      <c r="I149" s="141" t="str">
        <f t="shared" si="13"/>
        <v>999</v>
      </c>
      <c r="J149" s="141" t="s">
        <v>4327</v>
      </c>
      <c r="K149" s="141">
        <v>819</v>
      </c>
      <c r="L149" s="141">
        <v>1</v>
      </c>
      <c r="M149" s="141">
        <v>0</v>
      </c>
      <c r="N149" s="141">
        <v>4000</v>
      </c>
      <c r="O149" s="141" t="s">
        <v>4330</v>
      </c>
      <c r="P149" s="141" t="s">
        <v>4348</v>
      </c>
    </row>
    <row r="150" spans="1:16" ht="25.5">
      <c r="A150" s="141">
        <v>76807</v>
      </c>
      <c r="B150" s="141" t="s">
        <v>4325</v>
      </c>
      <c r="C150" s="142">
        <v>41201</v>
      </c>
      <c r="D150" s="141">
        <v>372</v>
      </c>
      <c r="E150" s="141" t="str">
        <f t="shared" si="12"/>
        <v>001</v>
      </c>
      <c r="F150" s="141" t="s">
        <v>4326</v>
      </c>
      <c r="G150" s="141" t="str">
        <f>"0174"</f>
        <v>0174</v>
      </c>
      <c r="H150" s="141" t="s">
        <v>719</v>
      </c>
      <c r="I150" s="141" t="str">
        <f t="shared" si="13"/>
        <v>999</v>
      </c>
      <c r="J150" s="141" t="s">
        <v>4327</v>
      </c>
      <c r="K150" s="141">
        <v>820</v>
      </c>
      <c r="L150" s="141">
        <v>1</v>
      </c>
      <c r="M150" s="141">
        <v>0</v>
      </c>
      <c r="N150" s="141">
        <v>8000</v>
      </c>
      <c r="O150" s="141" t="s">
        <v>4431</v>
      </c>
      <c r="P150" s="141" t="s">
        <v>4432</v>
      </c>
    </row>
    <row r="151" spans="1:16" ht="25.5">
      <c r="A151" s="141">
        <v>76807</v>
      </c>
      <c r="B151" s="141" t="s">
        <v>4325</v>
      </c>
      <c r="C151" s="142">
        <v>41201</v>
      </c>
      <c r="D151" s="141">
        <v>372</v>
      </c>
      <c r="E151" s="141" t="str">
        <f t="shared" si="12"/>
        <v>001</v>
      </c>
      <c r="F151" s="141" t="s">
        <v>4326</v>
      </c>
      <c r="G151" s="141" t="str">
        <f>"0174"</f>
        <v>0174</v>
      </c>
      <c r="H151" s="141" t="s">
        <v>719</v>
      </c>
      <c r="I151" s="141" t="str">
        <f t="shared" si="13"/>
        <v>999</v>
      </c>
      <c r="J151" s="141" t="s">
        <v>4327</v>
      </c>
      <c r="K151" s="141">
        <v>821</v>
      </c>
      <c r="L151" s="141">
        <v>5</v>
      </c>
      <c r="M151" s="141">
        <v>0</v>
      </c>
      <c r="N151" s="141">
        <v>8000</v>
      </c>
      <c r="O151" s="141" t="s">
        <v>4339</v>
      </c>
      <c r="P151" s="141" t="s">
        <v>4363</v>
      </c>
    </row>
    <row r="152" spans="1:16" ht="25.5">
      <c r="A152" s="141">
        <v>76807</v>
      </c>
      <c r="B152" s="141" t="s">
        <v>4325</v>
      </c>
      <c r="C152" s="142">
        <v>41201</v>
      </c>
      <c r="D152" s="141">
        <v>359</v>
      </c>
      <c r="E152" s="141" t="str">
        <f t="shared" si="12"/>
        <v>001</v>
      </c>
      <c r="F152" s="141" t="s">
        <v>4326</v>
      </c>
      <c r="G152" s="141" t="str">
        <f>"0175"</f>
        <v>0175</v>
      </c>
      <c r="H152" s="141" t="s">
        <v>737</v>
      </c>
      <c r="I152" s="141" t="str">
        <f t="shared" si="13"/>
        <v>999</v>
      </c>
      <c r="J152" s="141" t="s">
        <v>4327</v>
      </c>
      <c r="K152" s="141">
        <v>712</v>
      </c>
      <c r="L152" s="141">
        <v>1</v>
      </c>
      <c r="M152" s="141">
        <v>0</v>
      </c>
      <c r="N152" s="141">
        <v>3000</v>
      </c>
      <c r="O152" s="141" t="s">
        <v>4330</v>
      </c>
      <c r="P152" s="141" t="s">
        <v>4331</v>
      </c>
    </row>
    <row r="153" spans="1:16" ht="25.5">
      <c r="A153" s="141">
        <v>76807</v>
      </c>
      <c r="B153" s="141" t="s">
        <v>4325</v>
      </c>
      <c r="C153" s="142">
        <v>41201</v>
      </c>
      <c r="D153" s="141">
        <v>359</v>
      </c>
      <c r="E153" s="141" t="str">
        <f t="shared" si="12"/>
        <v>001</v>
      </c>
      <c r="F153" s="141" t="s">
        <v>4326</v>
      </c>
      <c r="G153" s="141" t="str">
        <f>"0175"</f>
        <v>0175</v>
      </c>
      <c r="H153" s="141" t="s">
        <v>737</v>
      </c>
      <c r="I153" s="141" t="str">
        <f t="shared" si="13"/>
        <v>999</v>
      </c>
      <c r="J153" s="141" t="s">
        <v>4327</v>
      </c>
      <c r="K153" s="141">
        <v>713</v>
      </c>
      <c r="L153" s="141">
        <v>10</v>
      </c>
      <c r="M153" s="141">
        <v>0</v>
      </c>
      <c r="N153" s="141">
        <v>25000</v>
      </c>
      <c r="O153" s="141" t="s">
        <v>4339</v>
      </c>
      <c r="P153" s="141" t="s">
        <v>4340</v>
      </c>
    </row>
    <row r="154" spans="1:16" ht="25.5">
      <c r="A154" s="141">
        <v>76807</v>
      </c>
      <c r="B154" s="141" t="s">
        <v>4325</v>
      </c>
      <c r="C154" s="142">
        <v>41201</v>
      </c>
      <c r="D154" s="141">
        <v>359</v>
      </c>
      <c r="E154" s="141" t="str">
        <f t="shared" si="12"/>
        <v>001</v>
      </c>
      <c r="F154" s="141" t="s">
        <v>4326</v>
      </c>
      <c r="G154" s="141" t="str">
        <f>"0175"</f>
        <v>0175</v>
      </c>
      <c r="H154" s="141" t="s">
        <v>737</v>
      </c>
      <c r="I154" s="141" t="str">
        <f t="shared" si="13"/>
        <v>999</v>
      </c>
      <c r="J154" s="141" t="s">
        <v>4327</v>
      </c>
      <c r="K154" s="141">
        <v>714</v>
      </c>
      <c r="L154" s="141">
        <v>1</v>
      </c>
      <c r="M154" s="141">
        <v>0</v>
      </c>
      <c r="N154" s="141">
        <v>3000</v>
      </c>
      <c r="O154" s="141" t="s">
        <v>4339</v>
      </c>
      <c r="P154" s="141" t="s">
        <v>4335</v>
      </c>
    </row>
    <row r="155" spans="1:16" ht="25.5">
      <c r="A155" s="141">
        <v>76807</v>
      </c>
      <c r="B155" s="141" t="s">
        <v>4325</v>
      </c>
      <c r="C155" s="142">
        <v>41201</v>
      </c>
      <c r="D155" s="141">
        <v>357</v>
      </c>
      <c r="E155" s="141" t="str">
        <f t="shared" si="12"/>
        <v>001</v>
      </c>
      <c r="F155" s="141" t="s">
        <v>4326</v>
      </c>
      <c r="G155" s="141" t="str">
        <f>"0176"</f>
        <v>0176</v>
      </c>
      <c r="H155" s="141" t="s">
        <v>734</v>
      </c>
      <c r="I155" s="141" t="str">
        <f t="shared" si="13"/>
        <v>999</v>
      </c>
      <c r="J155" s="141" t="s">
        <v>4327</v>
      </c>
      <c r="K155" s="141">
        <v>690</v>
      </c>
      <c r="L155" s="141">
        <v>1</v>
      </c>
      <c r="M155" s="141">
        <v>0</v>
      </c>
      <c r="N155" s="141">
        <v>2000</v>
      </c>
      <c r="O155" s="141" t="s">
        <v>4337</v>
      </c>
      <c r="P155" s="141" t="s">
        <v>4390</v>
      </c>
    </row>
    <row r="156" spans="1:16" ht="25.5">
      <c r="A156" s="141">
        <v>76807</v>
      </c>
      <c r="B156" s="141" t="s">
        <v>4325</v>
      </c>
      <c r="C156" s="142">
        <v>41201</v>
      </c>
      <c r="D156" s="141">
        <v>357</v>
      </c>
      <c r="E156" s="141" t="str">
        <f t="shared" si="12"/>
        <v>001</v>
      </c>
      <c r="F156" s="141" t="s">
        <v>4326</v>
      </c>
      <c r="G156" s="141" t="str">
        <f>"0176"</f>
        <v>0176</v>
      </c>
      <c r="H156" s="141" t="s">
        <v>734</v>
      </c>
      <c r="I156" s="141" t="str">
        <f t="shared" si="13"/>
        <v>999</v>
      </c>
      <c r="J156" s="141" t="s">
        <v>4327</v>
      </c>
      <c r="K156" s="141">
        <v>691</v>
      </c>
      <c r="L156" s="141">
        <v>1</v>
      </c>
      <c r="M156" s="141">
        <v>0</v>
      </c>
      <c r="N156" s="141">
        <v>4000</v>
      </c>
      <c r="O156" s="141" t="s">
        <v>4330</v>
      </c>
      <c r="P156" s="141" t="s">
        <v>4348</v>
      </c>
    </row>
    <row r="157" spans="1:16" ht="25.5">
      <c r="A157" s="141">
        <v>76807</v>
      </c>
      <c r="B157" s="141" t="s">
        <v>4325</v>
      </c>
      <c r="C157" s="142">
        <v>41201</v>
      </c>
      <c r="D157" s="141">
        <v>1169</v>
      </c>
      <c r="E157" s="141" t="str">
        <f t="shared" si="12"/>
        <v>001</v>
      </c>
      <c r="F157" s="141" t="s">
        <v>4326</v>
      </c>
      <c r="G157" s="141" t="str">
        <f>"0177"</f>
        <v>0177</v>
      </c>
      <c r="H157" s="141" t="s">
        <v>1017</v>
      </c>
      <c r="I157" s="141" t="str">
        <f t="shared" si="13"/>
        <v>999</v>
      </c>
      <c r="J157" s="141" t="s">
        <v>4327</v>
      </c>
      <c r="K157" s="141">
        <v>3053</v>
      </c>
      <c r="L157" s="141">
        <v>1</v>
      </c>
      <c r="M157" s="141">
        <v>0</v>
      </c>
      <c r="N157" s="141">
        <v>3000</v>
      </c>
      <c r="O157" s="141" t="s">
        <v>4330</v>
      </c>
      <c r="P157" s="141" t="s">
        <v>4331</v>
      </c>
    </row>
    <row r="158" spans="1:16" ht="25.5">
      <c r="A158" s="141">
        <v>76807</v>
      </c>
      <c r="B158" s="141" t="s">
        <v>4325</v>
      </c>
      <c r="C158" s="142">
        <v>41201</v>
      </c>
      <c r="D158" s="141">
        <v>1169</v>
      </c>
      <c r="E158" s="141" t="str">
        <f t="shared" si="12"/>
        <v>001</v>
      </c>
      <c r="F158" s="141" t="s">
        <v>4326</v>
      </c>
      <c r="G158" s="141" t="str">
        <f>"0177"</f>
        <v>0177</v>
      </c>
      <c r="H158" s="141" t="s">
        <v>1017</v>
      </c>
      <c r="I158" s="141" t="str">
        <f t="shared" si="13"/>
        <v>999</v>
      </c>
      <c r="J158" s="141" t="s">
        <v>4327</v>
      </c>
      <c r="K158" s="141">
        <v>3054</v>
      </c>
      <c r="L158" s="141">
        <v>1</v>
      </c>
      <c r="M158" s="141">
        <v>0</v>
      </c>
      <c r="N158" s="141">
        <v>4000</v>
      </c>
      <c r="O158" s="141" t="s">
        <v>4328</v>
      </c>
      <c r="P158" s="141" t="s">
        <v>4433</v>
      </c>
    </row>
    <row r="159" spans="1:16" ht="25.5">
      <c r="A159" s="141">
        <v>76807</v>
      </c>
      <c r="B159" s="141" t="s">
        <v>4325</v>
      </c>
      <c r="C159" s="142">
        <v>41201</v>
      </c>
      <c r="D159" s="141">
        <v>1169</v>
      </c>
      <c r="E159" s="141" t="str">
        <f t="shared" si="12"/>
        <v>001</v>
      </c>
      <c r="F159" s="141" t="s">
        <v>4326</v>
      </c>
      <c r="G159" s="141" t="str">
        <f>"0177"</f>
        <v>0177</v>
      </c>
      <c r="H159" s="141" t="s">
        <v>1017</v>
      </c>
      <c r="I159" s="141" t="str">
        <f t="shared" si="13"/>
        <v>999</v>
      </c>
      <c r="J159" s="141" t="s">
        <v>4327</v>
      </c>
      <c r="K159" s="141">
        <v>3055</v>
      </c>
      <c r="L159" s="141">
        <v>1</v>
      </c>
      <c r="M159" s="141">
        <v>0</v>
      </c>
      <c r="N159" s="141">
        <v>2000</v>
      </c>
      <c r="O159" s="141" t="s">
        <v>4434</v>
      </c>
      <c r="P159" s="141"/>
    </row>
    <row r="160" spans="1:16" ht="25.5">
      <c r="A160" s="141">
        <v>76807</v>
      </c>
      <c r="B160" s="141" t="s">
        <v>4325</v>
      </c>
      <c r="C160" s="142">
        <v>41201</v>
      </c>
      <c r="D160" s="141">
        <v>354</v>
      </c>
      <c r="E160" s="141" t="str">
        <f t="shared" si="12"/>
        <v>001</v>
      </c>
      <c r="F160" s="141" t="s">
        <v>4326</v>
      </c>
      <c r="G160" s="141" t="str">
        <f>"0178"</f>
        <v>0178</v>
      </c>
      <c r="H160" s="141" t="s">
        <v>732</v>
      </c>
      <c r="I160" s="141" t="str">
        <f t="shared" si="13"/>
        <v>999</v>
      </c>
      <c r="J160" s="141" t="s">
        <v>4327</v>
      </c>
      <c r="K160" s="141">
        <v>675</v>
      </c>
      <c r="L160" s="141">
        <v>1</v>
      </c>
      <c r="M160" s="141">
        <v>0</v>
      </c>
      <c r="N160" s="141">
        <v>5000</v>
      </c>
      <c r="O160" s="141" t="s">
        <v>4328</v>
      </c>
      <c r="P160" s="141" t="s">
        <v>4435</v>
      </c>
    </row>
    <row r="161" spans="1:16" ht="25.5">
      <c r="A161" s="141">
        <v>76807</v>
      </c>
      <c r="B161" s="141" t="s">
        <v>4325</v>
      </c>
      <c r="C161" s="142">
        <v>41201</v>
      </c>
      <c r="D161" s="141">
        <v>354</v>
      </c>
      <c r="E161" s="141" t="str">
        <f t="shared" si="12"/>
        <v>001</v>
      </c>
      <c r="F161" s="141" t="s">
        <v>4326</v>
      </c>
      <c r="G161" s="141" t="str">
        <f>"0178"</f>
        <v>0178</v>
      </c>
      <c r="H161" s="141" t="s">
        <v>732</v>
      </c>
      <c r="I161" s="141" t="str">
        <f t="shared" si="13"/>
        <v>999</v>
      </c>
      <c r="J161" s="141" t="s">
        <v>4327</v>
      </c>
      <c r="K161" s="141">
        <v>676</v>
      </c>
      <c r="L161" s="141">
        <v>5</v>
      </c>
      <c r="M161" s="141">
        <v>0</v>
      </c>
      <c r="N161" s="141">
        <v>7000</v>
      </c>
      <c r="O161" s="141" t="s">
        <v>4334</v>
      </c>
      <c r="P161" s="141" t="s">
        <v>4363</v>
      </c>
    </row>
    <row r="162" spans="1:16" ht="25.5">
      <c r="A162" s="141">
        <v>76807</v>
      </c>
      <c r="B162" s="141" t="s">
        <v>4325</v>
      </c>
      <c r="C162" s="142">
        <v>41201</v>
      </c>
      <c r="D162" s="141">
        <v>354</v>
      </c>
      <c r="E162" s="141" t="str">
        <f t="shared" si="12"/>
        <v>001</v>
      </c>
      <c r="F162" s="141" t="s">
        <v>4326</v>
      </c>
      <c r="G162" s="141" t="str">
        <f>"0178"</f>
        <v>0178</v>
      </c>
      <c r="H162" s="141" t="s">
        <v>732</v>
      </c>
      <c r="I162" s="141" t="str">
        <f t="shared" si="13"/>
        <v>999</v>
      </c>
      <c r="J162" s="141" t="s">
        <v>4327</v>
      </c>
      <c r="K162" s="141">
        <v>677</v>
      </c>
      <c r="L162" s="141">
        <v>1</v>
      </c>
      <c r="M162" s="141">
        <v>0</v>
      </c>
      <c r="N162" s="141">
        <v>4000</v>
      </c>
      <c r="O162" s="141" t="s">
        <v>4330</v>
      </c>
      <c r="P162" s="141" t="s">
        <v>4348</v>
      </c>
    </row>
    <row r="163" spans="1:16" ht="25.5">
      <c r="A163" s="141">
        <v>76807</v>
      </c>
      <c r="B163" s="141" t="s">
        <v>4325</v>
      </c>
      <c r="C163" s="142">
        <v>41201</v>
      </c>
      <c r="D163" s="141">
        <v>354</v>
      </c>
      <c r="E163" s="141" t="str">
        <f t="shared" si="12"/>
        <v>001</v>
      </c>
      <c r="F163" s="141" t="s">
        <v>4326</v>
      </c>
      <c r="G163" s="141" t="str">
        <f>"0178"</f>
        <v>0178</v>
      </c>
      <c r="H163" s="141" t="s">
        <v>732</v>
      </c>
      <c r="I163" s="141" t="str">
        <f t="shared" si="13"/>
        <v>999</v>
      </c>
      <c r="J163" s="141" t="s">
        <v>4327</v>
      </c>
      <c r="K163" s="141">
        <v>678</v>
      </c>
      <c r="L163" s="141">
        <v>1</v>
      </c>
      <c r="M163" s="141">
        <v>0</v>
      </c>
      <c r="N163" s="141">
        <v>2000</v>
      </c>
      <c r="O163" s="141" t="s">
        <v>4436</v>
      </c>
      <c r="P163" s="141"/>
    </row>
    <row r="164" spans="1:16" ht="25.5">
      <c r="A164" s="141">
        <v>76807</v>
      </c>
      <c r="B164" s="141" t="s">
        <v>4325</v>
      </c>
      <c r="C164" s="142">
        <v>41201</v>
      </c>
      <c r="D164" s="141">
        <v>422</v>
      </c>
      <c r="E164" s="141" t="str">
        <f t="shared" si="12"/>
        <v>001</v>
      </c>
      <c r="F164" s="141" t="s">
        <v>4326</v>
      </c>
      <c r="G164" s="141" t="str">
        <f>"0180"</f>
        <v>0180</v>
      </c>
      <c r="H164" s="141" t="s">
        <v>3739</v>
      </c>
      <c r="I164" s="141" t="str">
        <f t="shared" si="13"/>
        <v>999</v>
      </c>
      <c r="J164" s="141" t="s">
        <v>4327</v>
      </c>
      <c r="K164" s="141">
        <v>1196</v>
      </c>
      <c r="L164" s="141">
        <v>1</v>
      </c>
      <c r="M164" s="141">
        <v>0</v>
      </c>
      <c r="N164" s="141">
        <v>3000</v>
      </c>
      <c r="O164" s="141" t="s">
        <v>4330</v>
      </c>
      <c r="P164" s="141" t="s">
        <v>4331</v>
      </c>
    </row>
    <row r="165" spans="1:16" ht="25.5">
      <c r="A165" s="141">
        <v>76807</v>
      </c>
      <c r="B165" s="141" t="s">
        <v>4325</v>
      </c>
      <c r="C165" s="142">
        <v>41201</v>
      </c>
      <c r="D165" s="141">
        <v>422</v>
      </c>
      <c r="E165" s="141" t="str">
        <f t="shared" si="12"/>
        <v>001</v>
      </c>
      <c r="F165" s="141" t="s">
        <v>4326</v>
      </c>
      <c r="G165" s="141" t="str">
        <f>"0180"</f>
        <v>0180</v>
      </c>
      <c r="H165" s="141" t="s">
        <v>3739</v>
      </c>
      <c r="I165" s="141" t="str">
        <f t="shared" si="13"/>
        <v>999</v>
      </c>
      <c r="J165" s="141" t="s">
        <v>4327</v>
      </c>
      <c r="K165" s="141">
        <v>1197</v>
      </c>
      <c r="L165" s="141">
        <v>1</v>
      </c>
      <c r="M165" s="141">
        <v>0</v>
      </c>
      <c r="N165" s="141">
        <v>0</v>
      </c>
      <c r="O165" s="141" t="s">
        <v>4332</v>
      </c>
      <c r="P165" s="141" t="s">
        <v>4437</v>
      </c>
    </row>
    <row r="166" spans="1:16" ht="25.5">
      <c r="A166" s="141">
        <v>76807</v>
      </c>
      <c r="B166" s="141" t="s">
        <v>4325</v>
      </c>
      <c r="C166" s="142">
        <v>41201</v>
      </c>
      <c r="D166" s="141">
        <v>449</v>
      </c>
      <c r="E166" s="141" t="str">
        <f t="shared" si="12"/>
        <v>001</v>
      </c>
      <c r="F166" s="141" t="s">
        <v>4326</v>
      </c>
      <c r="G166" s="141" t="str">
        <f>"0181"</f>
        <v>0181</v>
      </c>
      <c r="H166" s="141" t="s">
        <v>718</v>
      </c>
      <c r="I166" s="141" t="str">
        <f t="shared" si="13"/>
        <v>999</v>
      </c>
      <c r="J166" s="141" t="s">
        <v>4327</v>
      </c>
      <c r="K166" s="141">
        <v>1335</v>
      </c>
      <c r="L166" s="141">
        <v>1</v>
      </c>
      <c r="M166" s="141">
        <v>0</v>
      </c>
      <c r="N166" s="141">
        <v>1000</v>
      </c>
      <c r="O166" s="141" t="s">
        <v>4330</v>
      </c>
      <c r="P166" s="141" t="s">
        <v>4379</v>
      </c>
    </row>
    <row r="167" spans="1:16" ht="25.5">
      <c r="A167" s="141">
        <v>76807</v>
      </c>
      <c r="B167" s="141" t="s">
        <v>4325</v>
      </c>
      <c r="C167" s="142">
        <v>41201</v>
      </c>
      <c r="D167" s="141">
        <v>449</v>
      </c>
      <c r="E167" s="141" t="str">
        <f t="shared" si="12"/>
        <v>001</v>
      </c>
      <c r="F167" s="141" t="s">
        <v>4326</v>
      </c>
      <c r="G167" s="141" t="str">
        <f>"0181"</f>
        <v>0181</v>
      </c>
      <c r="H167" s="141" t="s">
        <v>718</v>
      </c>
      <c r="I167" s="141" t="str">
        <f t="shared" si="13"/>
        <v>999</v>
      </c>
      <c r="J167" s="141" t="s">
        <v>4327</v>
      </c>
      <c r="K167" s="141">
        <v>1336</v>
      </c>
      <c r="L167" s="141">
        <v>2</v>
      </c>
      <c r="M167" s="141">
        <v>0</v>
      </c>
      <c r="N167" s="141">
        <v>3000</v>
      </c>
      <c r="O167" s="141" t="s">
        <v>4334</v>
      </c>
      <c r="P167" s="141" t="s">
        <v>4363</v>
      </c>
    </row>
    <row r="168" spans="1:16" ht="25.5">
      <c r="A168" s="141">
        <v>76807</v>
      </c>
      <c r="B168" s="141" t="s">
        <v>4325</v>
      </c>
      <c r="C168" s="142">
        <v>41201</v>
      </c>
      <c r="D168" s="141">
        <v>449</v>
      </c>
      <c r="E168" s="141" t="str">
        <f t="shared" si="12"/>
        <v>001</v>
      </c>
      <c r="F168" s="141" t="s">
        <v>4326</v>
      </c>
      <c r="G168" s="141" t="str">
        <f>"0181"</f>
        <v>0181</v>
      </c>
      <c r="H168" s="141" t="s">
        <v>718</v>
      </c>
      <c r="I168" s="141" t="str">
        <f t="shared" si="13"/>
        <v>999</v>
      </c>
      <c r="J168" s="141" t="s">
        <v>4327</v>
      </c>
      <c r="K168" s="141">
        <v>1337</v>
      </c>
      <c r="L168" s="141">
        <v>1</v>
      </c>
      <c r="M168" s="141">
        <v>0</v>
      </c>
      <c r="N168" s="141">
        <v>1000</v>
      </c>
      <c r="O168" s="141" t="s">
        <v>4381</v>
      </c>
      <c r="P168" s="141"/>
    </row>
    <row r="169" spans="1:16" ht="25.5">
      <c r="A169" s="141">
        <v>76807</v>
      </c>
      <c r="B169" s="141" t="s">
        <v>4325</v>
      </c>
      <c r="C169" s="142">
        <v>41201</v>
      </c>
      <c r="D169" s="141">
        <v>716</v>
      </c>
      <c r="E169" s="141" t="str">
        <f t="shared" si="12"/>
        <v>001</v>
      </c>
      <c r="F169" s="141" t="s">
        <v>4326</v>
      </c>
      <c r="G169" s="141" t="str">
        <f t="shared" ref="G169:G174" si="14">"0182"</f>
        <v>0182</v>
      </c>
      <c r="H169" s="141" t="s">
        <v>980</v>
      </c>
      <c r="I169" s="141" t="str">
        <f t="shared" si="13"/>
        <v>999</v>
      </c>
      <c r="J169" s="141" t="s">
        <v>4327</v>
      </c>
      <c r="K169" s="141">
        <v>2103</v>
      </c>
      <c r="L169" s="141">
        <v>1</v>
      </c>
      <c r="M169" s="141">
        <v>0</v>
      </c>
      <c r="N169" s="141">
        <v>12000</v>
      </c>
      <c r="O169" s="141" t="s">
        <v>4328</v>
      </c>
      <c r="P169" s="141" t="s">
        <v>4438</v>
      </c>
    </row>
    <row r="170" spans="1:16" ht="25.5">
      <c r="A170" s="141">
        <v>76807</v>
      </c>
      <c r="B170" s="141" t="s">
        <v>4325</v>
      </c>
      <c r="C170" s="142">
        <v>41201</v>
      </c>
      <c r="D170" s="141">
        <v>716</v>
      </c>
      <c r="E170" s="141" t="str">
        <f t="shared" si="12"/>
        <v>001</v>
      </c>
      <c r="F170" s="141" t="s">
        <v>4326</v>
      </c>
      <c r="G170" s="141" t="str">
        <f t="shared" si="14"/>
        <v>0182</v>
      </c>
      <c r="H170" s="141" t="s">
        <v>980</v>
      </c>
      <c r="I170" s="141" t="str">
        <f t="shared" si="13"/>
        <v>999</v>
      </c>
      <c r="J170" s="141" t="s">
        <v>4327</v>
      </c>
      <c r="K170" s="141">
        <v>2104</v>
      </c>
      <c r="L170" s="141">
        <v>7</v>
      </c>
      <c r="M170" s="141">
        <v>0</v>
      </c>
      <c r="N170" s="141">
        <v>17000</v>
      </c>
      <c r="O170" s="141" t="s">
        <v>4339</v>
      </c>
      <c r="P170" s="141" t="s">
        <v>4340</v>
      </c>
    </row>
    <row r="171" spans="1:16" ht="25.5">
      <c r="A171" s="141">
        <v>76807</v>
      </c>
      <c r="B171" s="141" t="s">
        <v>4325</v>
      </c>
      <c r="C171" s="142">
        <v>41201</v>
      </c>
      <c r="D171" s="141">
        <v>716</v>
      </c>
      <c r="E171" s="141" t="str">
        <f t="shared" si="12"/>
        <v>001</v>
      </c>
      <c r="F171" s="141" t="s">
        <v>4326</v>
      </c>
      <c r="G171" s="141" t="str">
        <f t="shared" si="14"/>
        <v>0182</v>
      </c>
      <c r="H171" s="141" t="s">
        <v>980</v>
      </c>
      <c r="I171" s="141" t="str">
        <f t="shared" si="13"/>
        <v>999</v>
      </c>
      <c r="J171" s="141" t="s">
        <v>4327</v>
      </c>
      <c r="K171" s="141">
        <v>2105</v>
      </c>
      <c r="L171" s="141">
        <v>1</v>
      </c>
      <c r="M171" s="141">
        <v>0</v>
      </c>
      <c r="N171" s="141">
        <v>2000</v>
      </c>
      <c r="O171" s="141" t="s">
        <v>4439</v>
      </c>
      <c r="P171" s="141" t="s">
        <v>4440</v>
      </c>
    </row>
    <row r="172" spans="1:16" ht="25.5">
      <c r="A172" s="141">
        <v>76807</v>
      </c>
      <c r="B172" s="141" t="s">
        <v>4325</v>
      </c>
      <c r="C172" s="142">
        <v>41201</v>
      </c>
      <c r="D172" s="141">
        <v>716</v>
      </c>
      <c r="E172" s="141" t="str">
        <f t="shared" si="12"/>
        <v>001</v>
      </c>
      <c r="F172" s="141" t="s">
        <v>4326</v>
      </c>
      <c r="G172" s="141" t="str">
        <f t="shared" si="14"/>
        <v>0182</v>
      </c>
      <c r="H172" s="141" t="s">
        <v>980</v>
      </c>
      <c r="I172" s="141" t="str">
        <f t="shared" si="13"/>
        <v>999</v>
      </c>
      <c r="J172" s="141" t="s">
        <v>4327</v>
      </c>
      <c r="K172" s="141">
        <v>2106</v>
      </c>
      <c r="L172" s="141">
        <v>1</v>
      </c>
      <c r="M172" s="141">
        <v>0</v>
      </c>
      <c r="N172" s="141">
        <v>0</v>
      </c>
      <c r="O172" s="141" t="s">
        <v>4330</v>
      </c>
      <c r="P172" s="141" t="s">
        <v>4441</v>
      </c>
    </row>
    <row r="173" spans="1:16" ht="25.5">
      <c r="A173" s="141">
        <v>76807</v>
      </c>
      <c r="B173" s="141" t="s">
        <v>4325</v>
      </c>
      <c r="C173" s="142">
        <v>41201</v>
      </c>
      <c r="D173" s="141">
        <v>716</v>
      </c>
      <c r="E173" s="141" t="str">
        <f t="shared" si="12"/>
        <v>001</v>
      </c>
      <c r="F173" s="141" t="s">
        <v>4326</v>
      </c>
      <c r="G173" s="141" t="str">
        <f t="shared" si="14"/>
        <v>0182</v>
      </c>
      <c r="H173" s="141" t="s">
        <v>980</v>
      </c>
      <c r="I173" s="141" t="str">
        <f t="shared" si="13"/>
        <v>999</v>
      </c>
      <c r="J173" s="141" t="s">
        <v>4327</v>
      </c>
      <c r="K173" s="141">
        <v>2107</v>
      </c>
      <c r="L173" s="141">
        <v>1</v>
      </c>
      <c r="M173" s="141">
        <v>0</v>
      </c>
      <c r="N173" s="141">
        <v>4000</v>
      </c>
      <c r="O173" s="141" t="s">
        <v>4442</v>
      </c>
      <c r="P173" s="141"/>
    </row>
    <row r="174" spans="1:16" ht="25.5">
      <c r="A174" s="141">
        <v>76807</v>
      </c>
      <c r="B174" s="141" t="s">
        <v>4325</v>
      </c>
      <c r="C174" s="142">
        <v>41201</v>
      </c>
      <c r="D174" s="141">
        <v>716</v>
      </c>
      <c r="E174" s="141" t="str">
        <f t="shared" si="12"/>
        <v>001</v>
      </c>
      <c r="F174" s="141" t="s">
        <v>4326</v>
      </c>
      <c r="G174" s="141" t="str">
        <f t="shared" si="14"/>
        <v>0182</v>
      </c>
      <c r="H174" s="141" t="s">
        <v>980</v>
      </c>
      <c r="I174" s="141" t="str">
        <f t="shared" si="13"/>
        <v>999</v>
      </c>
      <c r="J174" s="141" t="s">
        <v>4327</v>
      </c>
      <c r="K174" s="141">
        <v>2108</v>
      </c>
      <c r="L174" s="141">
        <v>2</v>
      </c>
      <c r="M174" s="141">
        <v>0</v>
      </c>
      <c r="N174" s="141">
        <v>1000</v>
      </c>
      <c r="O174" s="141" t="s">
        <v>4381</v>
      </c>
      <c r="P174" s="141"/>
    </row>
    <row r="175" spans="1:16" ht="25.5">
      <c r="A175" s="141">
        <v>76807</v>
      </c>
      <c r="B175" s="141" t="s">
        <v>4325</v>
      </c>
      <c r="C175" s="142">
        <v>41201</v>
      </c>
      <c r="D175" s="141">
        <v>1159</v>
      </c>
      <c r="E175" s="141" t="str">
        <f t="shared" si="12"/>
        <v>001</v>
      </c>
      <c r="F175" s="141" t="s">
        <v>4326</v>
      </c>
      <c r="G175" s="141" t="str">
        <f>"0183"</f>
        <v>0183</v>
      </c>
      <c r="H175" s="141" t="s">
        <v>960</v>
      </c>
      <c r="I175" s="141" t="str">
        <f t="shared" si="13"/>
        <v>999</v>
      </c>
      <c r="J175" s="141" t="s">
        <v>4327</v>
      </c>
      <c r="K175" s="141">
        <v>2965</v>
      </c>
      <c r="L175" s="141">
        <v>1</v>
      </c>
      <c r="M175" s="141">
        <v>0</v>
      </c>
      <c r="N175" s="141">
        <v>2000</v>
      </c>
      <c r="O175" s="141" t="s">
        <v>4330</v>
      </c>
      <c r="P175" s="141" t="s">
        <v>4443</v>
      </c>
    </row>
    <row r="176" spans="1:16" ht="25.5">
      <c r="A176" s="141">
        <v>76807</v>
      </c>
      <c r="B176" s="141" t="s">
        <v>4325</v>
      </c>
      <c r="C176" s="142">
        <v>41201</v>
      </c>
      <c r="D176" s="141">
        <v>1159</v>
      </c>
      <c r="E176" s="141" t="str">
        <f t="shared" si="12"/>
        <v>001</v>
      </c>
      <c r="F176" s="141" t="s">
        <v>4326</v>
      </c>
      <c r="G176" s="141" t="str">
        <f>"0183"</f>
        <v>0183</v>
      </c>
      <c r="H176" s="141" t="s">
        <v>960</v>
      </c>
      <c r="I176" s="141" t="str">
        <f t="shared" si="13"/>
        <v>999</v>
      </c>
      <c r="J176" s="141" t="s">
        <v>4327</v>
      </c>
      <c r="K176" s="141">
        <v>2966</v>
      </c>
      <c r="L176" s="141">
        <v>10</v>
      </c>
      <c r="M176" s="141">
        <v>0</v>
      </c>
      <c r="N176" s="141">
        <v>38000</v>
      </c>
      <c r="O176" s="141" t="s">
        <v>4357</v>
      </c>
      <c r="P176" s="141" t="s">
        <v>4361</v>
      </c>
    </row>
    <row r="177" spans="1:16" ht="25.5">
      <c r="A177" s="141">
        <v>76807</v>
      </c>
      <c r="B177" s="141" t="s">
        <v>4325</v>
      </c>
      <c r="C177" s="142">
        <v>41201</v>
      </c>
      <c r="D177" s="141">
        <v>1159</v>
      </c>
      <c r="E177" s="141" t="str">
        <f t="shared" si="12"/>
        <v>001</v>
      </c>
      <c r="F177" s="141" t="s">
        <v>4326</v>
      </c>
      <c r="G177" s="141" t="str">
        <f>"0183"</f>
        <v>0183</v>
      </c>
      <c r="H177" s="141" t="s">
        <v>960</v>
      </c>
      <c r="I177" s="141" t="str">
        <f t="shared" si="13"/>
        <v>999</v>
      </c>
      <c r="J177" s="141" t="s">
        <v>4327</v>
      </c>
      <c r="K177" s="141">
        <v>2967</v>
      </c>
      <c r="L177" s="141">
        <v>4</v>
      </c>
      <c r="M177" s="141">
        <v>0</v>
      </c>
      <c r="N177" s="141">
        <v>23000</v>
      </c>
      <c r="O177" s="141" t="s">
        <v>4357</v>
      </c>
      <c r="P177" s="141" t="s">
        <v>4444</v>
      </c>
    </row>
    <row r="178" spans="1:16" ht="25.5">
      <c r="A178" s="141">
        <v>76807</v>
      </c>
      <c r="B178" s="141" t="s">
        <v>4325</v>
      </c>
      <c r="C178" s="142">
        <v>41201</v>
      </c>
      <c r="D178" s="141">
        <v>1159</v>
      </c>
      <c r="E178" s="141" t="str">
        <f t="shared" si="12"/>
        <v>001</v>
      </c>
      <c r="F178" s="141" t="s">
        <v>4326</v>
      </c>
      <c r="G178" s="141" t="str">
        <f>"0183"</f>
        <v>0183</v>
      </c>
      <c r="H178" s="141" t="s">
        <v>960</v>
      </c>
      <c r="I178" s="141" t="str">
        <f t="shared" si="13"/>
        <v>999</v>
      </c>
      <c r="J178" s="141" t="s">
        <v>4327</v>
      </c>
      <c r="K178" s="141">
        <v>2968</v>
      </c>
      <c r="L178" s="141">
        <v>1</v>
      </c>
      <c r="M178" s="141">
        <v>0</v>
      </c>
      <c r="N178" s="141">
        <v>1000</v>
      </c>
      <c r="O178" s="141" t="s">
        <v>4375</v>
      </c>
      <c r="P178" s="141" t="s">
        <v>4445</v>
      </c>
    </row>
    <row r="179" spans="1:16" ht="25.5">
      <c r="A179" s="141">
        <v>76807</v>
      </c>
      <c r="B179" s="141" t="s">
        <v>4325</v>
      </c>
      <c r="C179" s="142">
        <v>41201</v>
      </c>
      <c r="D179" s="141">
        <v>1159</v>
      </c>
      <c r="E179" s="141" t="str">
        <f t="shared" si="12"/>
        <v>001</v>
      </c>
      <c r="F179" s="141" t="s">
        <v>4326</v>
      </c>
      <c r="G179" s="141" t="str">
        <f>"0183"</f>
        <v>0183</v>
      </c>
      <c r="H179" s="141" t="s">
        <v>960</v>
      </c>
      <c r="I179" s="141" t="str">
        <f t="shared" si="13"/>
        <v>999</v>
      </c>
      <c r="J179" s="141" t="s">
        <v>4327</v>
      </c>
      <c r="K179" s="141">
        <v>2969</v>
      </c>
      <c r="L179" s="141">
        <v>1</v>
      </c>
      <c r="M179" s="141">
        <v>0</v>
      </c>
      <c r="N179" s="141">
        <v>1000</v>
      </c>
      <c r="O179" s="141" t="s">
        <v>4375</v>
      </c>
      <c r="P179" s="141" t="s">
        <v>4445</v>
      </c>
    </row>
    <row r="180" spans="1:16" ht="25.5">
      <c r="A180" s="141">
        <v>76807</v>
      </c>
      <c r="B180" s="141" t="s">
        <v>4325</v>
      </c>
      <c r="C180" s="142">
        <v>41201</v>
      </c>
      <c r="D180" s="141">
        <v>311</v>
      </c>
      <c r="E180" s="141" t="str">
        <f t="shared" si="12"/>
        <v>001</v>
      </c>
      <c r="F180" s="141" t="s">
        <v>4326</v>
      </c>
      <c r="G180" s="141" t="str">
        <f>"0184"</f>
        <v>0184</v>
      </c>
      <c r="H180" s="141" t="s">
        <v>1259</v>
      </c>
      <c r="I180" s="141" t="str">
        <f t="shared" si="13"/>
        <v>999</v>
      </c>
      <c r="J180" s="141" t="s">
        <v>4327</v>
      </c>
      <c r="K180" s="141">
        <v>257</v>
      </c>
      <c r="L180" s="141">
        <v>2</v>
      </c>
      <c r="M180" s="141">
        <v>0</v>
      </c>
      <c r="N180" s="141">
        <v>6000</v>
      </c>
      <c r="O180" s="141" t="s">
        <v>4446</v>
      </c>
      <c r="P180" s="141"/>
    </row>
    <row r="181" spans="1:16" ht="25.5">
      <c r="A181" s="141">
        <v>76807</v>
      </c>
      <c r="B181" s="141" t="s">
        <v>4325</v>
      </c>
      <c r="C181" s="142">
        <v>41201</v>
      </c>
      <c r="D181" s="141">
        <v>311</v>
      </c>
      <c r="E181" s="141" t="str">
        <f t="shared" si="12"/>
        <v>001</v>
      </c>
      <c r="F181" s="141" t="s">
        <v>4326</v>
      </c>
      <c r="G181" s="141" t="str">
        <f>"0184"</f>
        <v>0184</v>
      </c>
      <c r="H181" s="141" t="s">
        <v>1259</v>
      </c>
      <c r="I181" s="141" t="str">
        <f t="shared" si="13"/>
        <v>999</v>
      </c>
      <c r="J181" s="141" t="s">
        <v>4327</v>
      </c>
      <c r="K181" s="141">
        <v>258</v>
      </c>
      <c r="L181" s="141">
        <v>1</v>
      </c>
      <c r="M181" s="141">
        <v>0</v>
      </c>
      <c r="N181" s="141">
        <v>3000</v>
      </c>
      <c r="O181" s="141" t="s">
        <v>4330</v>
      </c>
      <c r="P181" s="141" t="s">
        <v>4331</v>
      </c>
    </row>
    <row r="182" spans="1:16" ht="25.5">
      <c r="A182" s="141">
        <v>76807</v>
      </c>
      <c r="B182" s="141" t="s">
        <v>4325</v>
      </c>
      <c r="C182" s="142">
        <v>41201</v>
      </c>
      <c r="D182" s="141">
        <v>311</v>
      </c>
      <c r="E182" s="141" t="str">
        <f t="shared" si="12"/>
        <v>001</v>
      </c>
      <c r="F182" s="141" t="s">
        <v>4326</v>
      </c>
      <c r="G182" s="141" t="str">
        <f>"0184"</f>
        <v>0184</v>
      </c>
      <c r="H182" s="141" t="s">
        <v>1259</v>
      </c>
      <c r="I182" s="141" t="str">
        <f t="shared" si="13"/>
        <v>999</v>
      </c>
      <c r="J182" s="141" t="s">
        <v>4327</v>
      </c>
      <c r="K182" s="141">
        <v>259</v>
      </c>
      <c r="L182" s="141">
        <v>12</v>
      </c>
      <c r="M182" s="141">
        <v>0</v>
      </c>
      <c r="N182" s="141">
        <v>35000</v>
      </c>
      <c r="O182" s="141" t="s">
        <v>4357</v>
      </c>
      <c r="P182" s="141" t="s">
        <v>4340</v>
      </c>
    </row>
    <row r="183" spans="1:16" ht="25.5">
      <c r="A183" s="141">
        <v>76807</v>
      </c>
      <c r="B183" s="141" t="s">
        <v>4325</v>
      </c>
      <c r="C183" s="142">
        <v>41201</v>
      </c>
      <c r="D183" s="141">
        <v>311</v>
      </c>
      <c r="E183" s="141" t="str">
        <f t="shared" si="12"/>
        <v>001</v>
      </c>
      <c r="F183" s="141" t="s">
        <v>4326</v>
      </c>
      <c r="G183" s="141" t="str">
        <f>"0184"</f>
        <v>0184</v>
      </c>
      <c r="H183" s="141" t="s">
        <v>1259</v>
      </c>
      <c r="I183" s="141" t="str">
        <f t="shared" si="13"/>
        <v>999</v>
      </c>
      <c r="J183" s="141" t="s">
        <v>4327</v>
      </c>
      <c r="K183" s="141">
        <v>260</v>
      </c>
      <c r="L183" s="141">
        <v>6</v>
      </c>
      <c r="M183" s="141">
        <v>0</v>
      </c>
      <c r="N183" s="141">
        <v>23000</v>
      </c>
      <c r="O183" s="141" t="s">
        <v>4357</v>
      </c>
      <c r="P183" s="141" t="s">
        <v>4335</v>
      </c>
    </row>
    <row r="184" spans="1:16" ht="25.5">
      <c r="A184" s="141">
        <v>76807</v>
      </c>
      <c r="B184" s="141" t="s">
        <v>4325</v>
      </c>
      <c r="C184" s="142">
        <v>41201</v>
      </c>
      <c r="D184" s="141">
        <v>465</v>
      </c>
      <c r="E184" s="141" t="str">
        <f t="shared" si="12"/>
        <v>001</v>
      </c>
      <c r="F184" s="141" t="s">
        <v>4326</v>
      </c>
      <c r="G184" s="141" t="str">
        <f>"0185"</f>
        <v>0185</v>
      </c>
      <c r="H184" s="141" t="s">
        <v>3741</v>
      </c>
      <c r="I184" s="141" t="str">
        <f t="shared" si="13"/>
        <v>999</v>
      </c>
      <c r="J184" s="141" t="s">
        <v>4327</v>
      </c>
      <c r="K184" s="141">
        <v>977</v>
      </c>
      <c r="L184" s="141">
        <v>1</v>
      </c>
      <c r="M184" s="141">
        <v>0</v>
      </c>
      <c r="N184" s="141">
        <v>2000</v>
      </c>
      <c r="O184" s="141" t="s">
        <v>4330</v>
      </c>
      <c r="P184" s="141" t="s">
        <v>4443</v>
      </c>
    </row>
    <row r="185" spans="1:16" ht="25.5">
      <c r="A185" s="141">
        <v>76807</v>
      </c>
      <c r="B185" s="141" t="s">
        <v>4325</v>
      </c>
      <c r="C185" s="142">
        <v>41201</v>
      </c>
      <c r="D185" s="141">
        <v>465</v>
      </c>
      <c r="E185" s="141" t="str">
        <f t="shared" si="12"/>
        <v>001</v>
      </c>
      <c r="F185" s="141" t="s">
        <v>4326</v>
      </c>
      <c r="G185" s="141" t="str">
        <f>"0185"</f>
        <v>0185</v>
      </c>
      <c r="H185" s="141" t="s">
        <v>3741</v>
      </c>
      <c r="I185" s="141" t="str">
        <f t="shared" si="13"/>
        <v>999</v>
      </c>
      <c r="J185" s="141" t="s">
        <v>4327</v>
      </c>
      <c r="K185" s="141">
        <v>978</v>
      </c>
      <c r="L185" s="141">
        <v>1</v>
      </c>
      <c r="M185" s="141">
        <v>0</v>
      </c>
      <c r="N185" s="141">
        <v>3000</v>
      </c>
      <c r="O185" s="141" t="s">
        <v>4328</v>
      </c>
      <c r="P185" s="141" t="s">
        <v>4389</v>
      </c>
    </row>
    <row r="186" spans="1:16" ht="25.5">
      <c r="A186" s="141">
        <v>76807</v>
      </c>
      <c r="B186" s="141" t="s">
        <v>4325</v>
      </c>
      <c r="C186" s="142">
        <v>41201</v>
      </c>
      <c r="D186" s="141">
        <v>1170</v>
      </c>
      <c r="E186" s="141" t="str">
        <f t="shared" si="12"/>
        <v>001</v>
      </c>
      <c r="F186" s="141" t="s">
        <v>4326</v>
      </c>
      <c r="G186" s="141" t="str">
        <f t="shared" ref="G186:G192" si="15">"0186"</f>
        <v>0186</v>
      </c>
      <c r="H186" s="141" t="s">
        <v>3422</v>
      </c>
      <c r="I186" s="141" t="str">
        <f t="shared" si="13"/>
        <v>999</v>
      </c>
      <c r="J186" s="141" t="s">
        <v>4327</v>
      </c>
      <c r="K186" s="141">
        <v>3056</v>
      </c>
      <c r="L186" s="141">
        <v>11</v>
      </c>
      <c r="M186" s="141">
        <v>0</v>
      </c>
      <c r="N186" s="141">
        <v>33000</v>
      </c>
      <c r="O186" s="141" t="s">
        <v>4334</v>
      </c>
      <c r="P186" s="141" t="s">
        <v>4361</v>
      </c>
    </row>
    <row r="187" spans="1:16" ht="25.5">
      <c r="A187" s="141">
        <v>76807</v>
      </c>
      <c r="B187" s="141" t="s">
        <v>4325</v>
      </c>
      <c r="C187" s="142">
        <v>41201</v>
      </c>
      <c r="D187" s="141">
        <v>1170</v>
      </c>
      <c r="E187" s="141" t="str">
        <f t="shared" si="12"/>
        <v>001</v>
      </c>
      <c r="F187" s="141" t="s">
        <v>4326</v>
      </c>
      <c r="G187" s="141" t="str">
        <f t="shared" si="15"/>
        <v>0186</v>
      </c>
      <c r="H187" s="141" t="s">
        <v>3422</v>
      </c>
      <c r="I187" s="141" t="str">
        <f t="shared" si="13"/>
        <v>999</v>
      </c>
      <c r="J187" s="141" t="s">
        <v>4327</v>
      </c>
      <c r="K187" s="141">
        <v>3057</v>
      </c>
      <c r="L187" s="141">
        <v>1</v>
      </c>
      <c r="M187" s="141">
        <v>0</v>
      </c>
      <c r="N187" s="141">
        <v>1000</v>
      </c>
      <c r="O187" s="141" t="s">
        <v>4343</v>
      </c>
      <c r="P187" s="141"/>
    </row>
    <row r="188" spans="1:16" ht="25.5">
      <c r="A188" s="141">
        <v>76807</v>
      </c>
      <c r="B188" s="141" t="s">
        <v>4325</v>
      </c>
      <c r="C188" s="142">
        <v>41201</v>
      </c>
      <c r="D188" s="141">
        <v>1170</v>
      </c>
      <c r="E188" s="141" t="str">
        <f t="shared" si="12"/>
        <v>001</v>
      </c>
      <c r="F188" s="141" t="s">
        <v>4326</v>
      </c>
      <c r="G188" s="141" t="str">
        <f t="shared" si="15"/>
        <v>0186</v>
      </c>
      <c r="H188" s="141" t="s">
        <v>3422</v>
      </c>
      <c r="I188" s="141" t="str">
        <f t="shared" si="13"/>
        <v>999</v>
      </c>
      <c r="J188" s="141" t="s">
        <v>4327</v>
      </c>
      <c r="K188" s="141">
        <v>3058</v>
      </c>
      <c r="L188" s="141">
        <v>5</v>
      </c>
      <c r="M188" s="141">
        <v>0</v>
      </c>
      <c r="N188" s="141">
        <v>3000</v>
      </c>
      <c r="O188" s="141" t="s">
        <v>4350</v>
      </c>
      <c r="P188" s="141"/>
    </row>
    <row r="189" spans="1:16" ht="25.5">
      <c r="A189" s="141">
        <v>76807</v>
      </c>
      <c r="B189" s="141" t="s">
        <v>4325</v>
      </c>
      <c r="C189" s="142">
        <v>41201</v>
      </c>
      <c r="D189" s="141">
        <v>1170</v>
      </c>
      <c r="E189" s="141" t="str">
        <f t="shared" si="12"/>
        <v>001</v>
      </c>
      <c r="F189" s="141" t="s">
        <v>4326</v>
      </c>
      <c r="G189" s="141" t="str">
        <f t="shared" si="15"/>
        <v>0186</v>
      </c>
      <c r="H189" s="141" t="s">
        <v>3422</v>
      </c>
      <c r="I189" s="141" t="str">
        <f t="shared" si="13"/>
        <v>999</v>
      </c>
      <c r="J189" s="141" t="s">
        <v>4327</v>
      </c>
      <c r="K189" s="141">
        <v>3059</v>
      </c>
      <c r="L189" s="141">
        <v>1</v>
      </c>
      <c r="M189" s="141">
        <v>0</v>
      </c>
      <c r="N189" s="141">
        <v>3000</v>
      </c>
      <c r="O189" s="141" t="s">
        <v>4330</v>
      </c>
      <c r="P189" s="141" t="s">
        <v>4331</v>
      </c>
    </row>
    <row r="190" spans="1:16" ht="25.5">
      <c r="A190" s="141">
        <v>76807</v>
      </c>
      <c r="B190" s="141" t="s">
        <v>4325</v>
      </c>
      <c r="C190" s="142">
        <v>41201</v>
      </c>
      <c r="D190" s="141">
        <v>1170</v>
      </c>
      <c r="E190" s="141" t="str">
        <f t="shared" si="12"/>
        <v>001</v>
      </c>
      <c r="F190" s="141" t="s">
        <v>4326</v>
      </c>
      <c r="G190" s="141" t="str">
        <f t="shared" si="15"/>
        <v>0186</v>
      </c>
      <c r="H190" s="141" t="s">
        <v>3422</v>
      </c>
      <c r="I190" s="141" t="str">
        <f t="shared" si="13"/>
        <v>999</v>
      </c>
      <c r="J190" s="141" t="s">
        <v>4327</v>
      </c>
      <c r="K190" s="141">
        <v>3060</v>
      </c>
      <c r="L190" s="141">
        <v>2</v>
      </c>
      <c r="M190" s="141">
        <v>0</v>
      </c>
      <c r="N190" s="141">
        <v>0</v>
      </c>
      <c r="O190" s="141" t="s">
        <v>4447</v>
      </c>
      <c r="P190" s="141"/>
    </row>
    <row r="191" spans="1:16" ht="25.5">
      <c r="A191" s="141">
        <v>76807</v>
      </c>
      <c r="B191" s="141" t="s">
        <v>4325</v>
      </c>
      <c r="C191" s="142">
        <v>41201</v>
      </c>
      <c r="D191" s="141">
        <v>1170</v>
      </c>
      <c r="E191" s="141" t="str">
        <f t="shared" si="12"/>
        <v>001</v>
      </c>
      <c r="F191" s="141" t="s">
        <v>4326</v>
      </c>
      <c r="G191" s="141" t="str">
        <f t="shared" si="15"/>
        <v>0186</v>
      </c>
      <c r="H191" s="141" t="s">
        <v>3422</v>
      </c>
      <c r="I191" s="141" t="str">
        <f t="shared" si="13"/>
        <v>999</v>
      </c>
      <c r="J191" s="141" t="s">
        <v>4327</v>
      </c>
      <c r="K191" s="141">
        <v>3061</v>
      </c>
      <c r="L191" s="141">
        <v>4</v>
      </c>
      <c r="M191" s="141">
        <v>0</v>
      </c>
      <c r="N191" s="141">
        <v>2000</v>
      </c>
      <c r="O191" s="141" t="s">
        <v>4381</v>
      </c>
      <c r="P191" s="141"/>
    </row>
    <row r="192" spans="1:16" ht="25.5">
      <c r="A192" s="141">
        <v>76807</v>
      </c>
      <c r="B192" s="141" t="s">
        <v>4325</v>
      </c>
      <c r="C192" s="142">
        <v>41201</v>
      </c>
      <c r="D192" s="141">
        <v>1170</v>
      </c>
      <c r="E192" s="141" t="str">
        <f t="shared" si="12"/>
        <v>001</v>
      </c>
      <c r="F192" s="141" t="s">
        <v>4326</v>
      </c>
      <c r="G192" s="141" t="str">
        <f t="shared" si="15"/>
        <v>0186</v>
      </c>
      <c r="H192" s="141" t="s">
        <v>3422</v>
      </c>
      <c r="I192" s="141" t="str">
        <f t="shared" si="13"/>
        <v>999</v>
      </c>
      <c r="J192" s="141" t="s">
        <v>4327</v>
      </c>
      <c r="K192" s="141">
        <v>3062</v>
      </c>
      <c r="L192" s="141">
        <v>1</v>
      </c>
      <c r="M192" s="141">
        <v>0</v>
      </c>
      <c r="N192" s="141">
        <v>24000</v>
      </c>
      <c r="O192" s="141" t="s">
        <v>4375</v>
      </c>
      <c r="P192" s="141" t="s">
        <v>4448</v>
      </c>
    </row>
    <row r="193" spans="1:16" ht="25.5">
      <c r="A193" s="141">
        <v>76807</v>
      </c>
      <c r="B193" s="141" t="s">
        <v>4325</v>
      </c>
      <c r="C193" s="142">
        <v>41201</v>
      </c>
      <c r="D193" s="141">
        <v>419</v>
      </c>
      <c r="E193" s="141" t="str">
        <f t="shared" si="12"/>
        <v>001</v>
      </c>
      <c r="F193" s="141" t="s">
        <v>4326</v>
      </c>
      <c r="G193" s="141" t="str">
        <f>"0187"</f>
        <v>0187</v>
      </c>
      <c r="H193" s="141" t="s">
        <v>3742</v>
      </c>
      <c r="I193" s="141" t="str">
        <f t="shared" si="13"/>
        <v>999</v>
      </c>
      <c r="J193" s="141" t="s">
        <v>4327</v>
      </c>
      <c r="K193" s="141">
        <v>1166</v>
      </c>
      <c r="L193" s="141">
        <v>2</v>
      </c>
      <c r="M193" s="141">
        <v>0</v>
      </c>
      <c r="N193" s="141">
        <v>1000</v>
      </c>
      <c r="O193" s="141" t="s">
        <v>4381</v>
      </c>
      <c r="P193" s="141"/>
    </row>
    <row r="194" spans="1:16" ht="25.5">
      <c r="A194" s="141">
        <v>76807</v>
      </c>
      <c r="B194" s="141" t="s">
        <v>4325</v>
      </c>
      <c r="C194" s="142">
        <v>41201</v>
      </c>
      <c r="D194" s="141">
        <v>419</v>
      </c>
      <c r="E194" s="141" t="str">
        <f t="shared" ref="E194:E257" si="16">"001"</f>
        <v>001</v>
      </c>
      <c r="F194" s="141" t="s">
        <v>4326</v>
      </c>
      <c r="G194" s="141" t="str">
        <f>"0187"</f>
        <v>0187</v>
      </c>
      <c r="H194" s="141" t="s">
        <v>3742</v>
      </c>
      <c r="I194" s="141" t="str">
        <f t="shared" ref="I194:I257" si="17">"999"</f>
        <v>999</v>
      </c>
      <c r="J194" s="141" t="s">
        <v>4327</v>
      </c>
      <c r="K194" s="141">
        <v>1167</v>
      </c>
      <c r="L194" s="141">
        <v>12</v>
      </c>
      <c r="M194" s="141">
        <v>0</v>
      </c>
      <c r="N194" s="141">
        <v>29000</v>
      </c>
      <c r="O194" s="141" t="s">
        <v>4334</v>
      </c>
      <c r="P194" s="141" t="s">
        <v>4340</v>
      </c>
    </row>
    <row r="195" spans="1:16" ht="25.5">
      <c r="A195" s="141">
        <v>76807</v>
      </c>
      <c r="B195" s="141" t="s">
        <v>4325</v>
      </c>
      <c r="C195" s="142">
        <v>41201</v>
      </c>
      <c r="D195" s="141">
        <v>419</v>
      </c>
      <c r="E195" s="141" t="str">
        <f t="shared" si="16"/>
        <v>001</v>
      </c>
      <c r="F195" s="141" t="s">
        <v>4326</v>
      </c>
      <c r="G195" s="141" t="str">
        <f>"0187"</f>
        <v>0187</v>
      </c>
      <c r="H195" s="141" t="s">
        <v>3742</v>
      </c>
      <c r="I195" s="141" t="str">
        <f t="shared" si="17"/>
        <v>999</v>
      </c>
      <c r="J195" s="141" t="s">
        <v>4327</v>
      </c>
      <c r="K195" s="141">
        <v>1168</v>
      </c>
      <c r="L195" s="141">
        <v>1</v>
      </c>
      <c r="M195" s="141">
        <v>0</v>
      </c>
      <c r="N195" s="141">
        <v>7000</v>
      </c>
      <c r="O195" s="141" t="s">
        <v>4388</v>
      </c>
      <c r="P195" s="141" t="s">
        <v>4449</v>
      </c>
    </row>
    <row r="196" spans="1:16" ht="25.5">
      <c r="A196" s="141">
        <v>76807</v>
      </c>
      <c r="B196" s="141" t="s">
        <v>4325</v>
      </c>
      <c r="C196" s="142">
        <v>41201</v>
      </c>
      <c r="D196" s="141">
        <v>1178</v>
      </c>
      <c r="E196" s="141" t="str">
        <f t="shared" si="16"/>
        <v>001</v>
      </c>
      <c r="F196" s="141" t="s">
        <v>4326</v>
      </c>
      <c r="G196" s="141" t="str">
        <f t="shared" ref="G196:G214" si="18">"0245"</f>
        <v>0245</v>
      </c>
      <c r="H196" s="141" t="s">
        <v>2367</v>
      </c>
      <c r="I196" s="141" t="str">
        <f t="shared" si="17"/>
        <v>999</v>
      </c>
      <c r="J196" s="141" t="s">
        <v>4327</v>
      </c>
      <c r="K196" s="141">
        <v>3127</v>
      </c>
      <c r="L196" s="141">
        <v>1</v>
      </c>
      <c r="M196" s="141">
        <v>0</v>
      </c>
      <c r="N196" s="141">
        <v>475000</v>
      </c>
      <c r="O196" s="141" t="s">
        <v>4450</v>
      </c>
      <c r="P196" s="141" t="s">
        <v>4451</v>
      </c>
    </row>
    <row r="197" spans="1:16" ht="25.5">
      <c r="A197" s="141">
        <v>76807</v>
      </c>
      <c r="B197" s="141" t="s">
        <v>4325</v>
      </c>
      <c r="C197" s="142">
        <v>41201</v>
      </c>
      <c r="D197" s="141">
        <v>1178</v>
      </c>
      <c r="E197" s="141" t="str">
        <f t="shared" si="16"/>
        <v>001</v>
      </c>
      <c r="F197" s="141" t="s">
        <v>4326</v>
      </c>
      <c r="G197" s="141" t="str">
        <f t="shared" si="18"/>
        <v>0245</v>
      </c>
      <c r="H197" s="141" t="s">
        <v>2367</v>
      </c>
      <c r="I197" s="141" t="str">
        <f t="shared" si="17"/>
        <v>999</v>
      </c>
      <c r="J197" s="141" t="s">
        <v>4327</v>
      </c>
      <c r="K197" s="141">
        <v>3128</v>
      </c>
      <c r="L197" s="141">
        <v>1</v>
      </c>
      <c r="M197" s="141">
        <v>0</v>
      </c>
      <c r="N197" s="141">
        <v>103000</v>
      </c>
      <c r="O197" s="141" t="s">
        <v>4452</v>
      </c>
      <c r="P197" s="141" t="s">
        <v>4453</v>
      </c>
    </row>
    <row r="198" spans="1:16" ht="25.5">
      <c r="A198" s="141">
        <v>76807</v>
      </c>
      <c r="B198" s="141" t="s">
        <v>4325</v>
      </c>
      <c r="C198" s="142">
        <v>41201</v>
      </c>
      <c r="D198" s="141">
        <v>1178</v>
      </c>
      <c r="E198" s="141" t="str">
        <f t="shared" si="16"/>
        <v>001</v>
      </c>
      <c r="F198" s="141" t="s">
        <v>4326</v>
      </c>
      <c r="G198" s="141" t="str">
        <f t="shared" si="18"/>
        <v>0245</v>
      </c>
      <c r="H198" s="141" t="s">
        <v>2367</v>
      </c>
      <c r="I198" s="141" t="str">
        <f t="shared" si="17"/>
        <v>999</v>
      </c>
      <c r="J198" s="141" t="s">
        <v>4327</v>
      </c>
      <c r="K198" s="141">
        <v>3129</v>
      </c>
      <c r="L198" s="141">
        <v>1</v>
      </c>
      <c r="M198" s="141">
        <v>0</v>
      </c>
      <c r="N198" s="141">
        <v>3000</v>
      </c>
      <c r="O198" s="141" t="s">
        <v>4330</v>
      </c>
      <c r="P198" s="141" t="s">
        <v>4331</v>
      </c>
    </row>
    <row r="199" spans="1:16" ht="25.5">
      <c r="A199" s="141">
        <v>76807</v>
      </c>
      <c r="B199" s="141" t="s">
        <v>4325</v>
      </c>
      <c r="C199" s="142">
        <v>41201</v>
      </c>
      <c r="D199" s="141">
        <v>1178</v>
      </c>
      <c r="E199" s="141" t="str">
        <f t="shared" si="16"/>
        <v>001</v>
      </c>
      <c r="F199" s="141" t="s">
        <v>4326</v>
      </c>
      <c r="G199" s="141" t="str">
        <f t="shared" si="18"/>
        <v>0245</v>
      </c>
      <c r="H199" s="141" t="s">
        <v>2367</v>
      </c>
      <c r="I199" s="141" t="str">
        <f t="shared" si="17"/>
        <v>999</v>
      </c>
      <c r="J199" s="141" t="s">
        <v>4327</v>
      </c>
      <c r="K199" s="141">
        <v>3130</v>
      </c>
      <c r="L199" s="141">
        <v>1</v>
      </c>
      <c r="M199" s="141">
        <v>0</v>
      </c>
      <c r="N199" s="141">
        <v>5000</v>
      </c>
      <c r="O199" s="141" t="s">
        <v>4434</v>
      </c>
      <c r="P199" s="141"/>
    </row>
    <row r="200" spans="1:16" ht="25.5">
      <c r="A200" s="141">
        <v>76807</v>
      </c>
      <c r="B200" s="141" t="s">
        <v>4325</v>
      </c>
      <c r="C200" s="142">
        <v>41201</v>
      </c>
      <c r="D200" s="141">
        <v>1178</v>
      </c>
      <c r="E200" s="141" t="str">
        <f t="shared" si="16"/>
        <v>001</v>
      </c>
      <c r="F200" s="141" t="s">
        <v>4326</v>
      </c>
      <c r="G200" s="141" t="str">
        <f t="shared" si="18"/>
        <v>0245</v>
      </c>
      <c r="H200" s="141" t="s">
        <v>2367</v>
      </c>
      <c r="I200" s="141" t="str">
        <f t="shared" si="17"/>
        <v>999</v>
      </c>
      <c r="J200" s="141" t="s">
        <v>4327</v>
      </c>
      <c r="K200" s="141">
        <v>3131</v>
      </c>
      <c r="L200" s="141">
        <v>2</v>
      </c>
      <c r="M200" s="141">
        <v>0</v>
      </c>
      <c r="N200" s="141">
        <v>10000</v>
      </c>
      <c r="O200" s="141" t="s">
        <v>4357</v>
      </c>
      <c r="P200" s="141" t="s">
        <v>4454</v>
      </c>
    </row>
    <row r="201" spans="1:16" ht="25.5">
      <c r="A201" s="141">
        <v>76807</v>
      </c>
      <c r="B201" s="141" t="s">
        <v>4325</v>
      </c>
      <c r="C201" s="142">
        <v>41201</v>
      </c>
      <c r="D201" s="141">
        <v>1178</v>
      </c>
      <c r="E201" s="141" t="str">
        <f t="shared" si="16"/>
        <v>001</v>
      </c>
      <c r="F201" s="141" t="s">
        <v>4326</v>
      </c>
      <c r="G201" s="141" t="str">
        <f t="shared" si="18"/>
        <v>0245</v>
      </c>
      <c r="H201" s="141" t="s">
        <v>2367</v>
      </c>
      <c r="I201" s="141" t="str">
        <f t="shared" si="17"/>
        <v>999</v>
      </c>
      <c r="J201" s="141" t="s">
        <v>4327</v>
      </c>
      <c r="K201" s="141">
        <v>3132</v>
      </c>
      <c r="L201" s="141">
        <v>3</v>
      </c>
      <c r="M201" s="141">
        <v>0</v>
      </c>
      <c r="N201" s="141">
        <v>1000</v>
      </c>
      <c r="O201" s="141" t="s">
        <v>4455</v>
      </c>
      <c r="P201" s="141"/>
    </row>
    <row r="202" spans="1:16" ht="25.5">
      <c r="A202" s="141">
        <v>76807</v>
      </c>
      <c r="B202" s="141" t="s">
        <v>4325</v>
      </c>
      <c r="C202" s="142">
        <v>41201</v>
      </c>
      <c r="D202" s="141">
        <v>1178</v>
      </c>
      <c r="E202" s="141" t="str">
        <f t="shared" si="16"/>
        <v>001</v>
      </c>
      <c r="F202" s="141" t="s">
        <v>4326</v>
      </c>
      <c r="G202" s="141" t="str">
        <f t="shared" si="18"/>
        <v>0245</v>
      </c>
      <c r="H202" s="141" t="s">
        <v>2367</v>
      </c>
      <c r="I202" s="141" t="str">
        <f t="shared" si="17"/>
        <v>999</v>
      </c>
      <c r="J202" s="141" t="s">
        <v>4327</v>
      </c>
      <c r="K202" s="141">
        <v>3133</v>
      </c>
      <c r="L202" s="141">
        <v>3</v>
      </c>
      <c r="M202" s="141">
        <v>0</v>
      </c>
      <c r="N202" s="141">
        <v>1000</v>
      </c>
      <c r="O202" s="141" t="s">
        <v>4456</v>
      </c>
      <c r="P202" s="141"/>
    </row>
    <row r="203" spans="1:16" ht="25.5">
      <c r="A203" s="141">
        <v>76807</v>
      </c>
      <c r="B203" s="141" t="s">
        <v>4325</v>
      </c>
      <c r="C203" s="142">
        <v>41201</v>
      </c>
      <c r="D203" s="141">
        <v>1178</v>
      </c>
      <c r="E203" s="141" t="str">
        <f t="shared" si="16"/>
        <v>001</v>
      </c>
      <c r="F203" s="141" t="s">
        <v>4326</v>
      </c>
      <c r="G203" s="141" t="str">
        <f t="shared" si="18"/>
        <v>0245</v>
      </c>
      <c r="H203" s="141" t="s">
        <v>2367</v>
      </c>
      <c r="I203" s="141" t="str">
        <f t="shared" si="17"/>
        <v>999</v>
      </c>
      <c r="J203" s="141" t="s">
        <v>4327</v>
      </c>
      <c r="K203" s="141">
        <v>3134</v>
      </c>
      <c r="L203" s="141">
        <v>3</v>
      </c>
      <c r="M203" s="141">
        <v>0</v>
      </c>
      <c r="N203" s="141">
        <v>1000</v>
      </c>
      <c r="O203" s="141" t="s">
        <v>4457</v>
      </c>
      <c r="P203" s="141"/>
    </row>
    <row r="204" spans="1:16" ht="25.5">
      <c r="A204" s="141">
        <v>76807</v>
      </c>
      <c r="B204" s="141" t="s">
        <v>4325</v>
      </c>
      <c r="C204" s="142">
        <v>41201</v>
      </c>
      <c r="D204" s="141">
        <v>1178</v>
      </c>
      <c r="E204" s="141" t="str">
        <f t="shared" si="16"/>
        <v>001</v>
      </c>
      <c r="F204" s="141" t="s">
        <v>4326</v>
      </c>
      <c r="G204" s="141" t="str">
        <f t="shared" si="18"/>
        <v>0245</v>
      </c>
      <c r="H204" s="141" t="s">
        <v>2367</v>
      </c>
      <c r="I204" s="141" t="str">
        <f t="shared" si="17"/>
        <v>999</v>
      </c>
      <c r="J204" s="141" t="s">
        <v>4327</v>
      </c>
      <c r="K204" s="141">
        <v>3135</v>
      </c>
      <c r="L204" s="141">
        <v>1</v>
      </c>
      <c r="M204" s="141">
        <v>0</v>
      </c>
      <c r="N204" s="141">
        <v>90000</v>
      </c>
      <c r="O204" s="141" t="s">
        <v>4458</v>
      </c>
      <c r="P204" s="141" t="s">
        <v>4459</v>
      </c>
    </row>
    <row r="205" spans="1:16" ht="25.5">
      <c r="A205" s="141">
        <v>76807</v>
      </c>
      <c r="B205" s="141" t="s">
        <v>4325</v>
      </c>
      <c r="C205" s="142">
        <v>41201</v>
      </c>
      <c r="D205" s="141">
        <v>1178</v>
      </c>
      <c r="E205" s="141" t="str">
        <f t="shared" si="16"/>
        <v>001</v>
      </c>
      <c r="F205" s="141" t="s">
        <v>4326</v>
      </c>
      <c r="G205" s="141" t="str">
        <f t="shared" si="18"/>
        <v>0245</v>
      </c>
      <c r="H205" s="141" t="s">
        <v>2367</v>
      </c>
      <c r="I205" s="141" t="str">
        <f t="shared" si="17"/>
        <v>999</v>
      </c>
      <c r="J205" s="141" t="s">
        <v>4327</v>
      </c>
      <c r="K205" s="141">
        <v>3136</v>
      </c>
      <c r="L205" s="141">
        <v>4</v>
      </c>
      <c r="M205" s="141">
        <v>0</v>
      </c>
      <c r="N205" s="141">
        <v>11000</v>
      </c>
      <c r="O205" s="141" t="s">
        <v>4409</v>
      </c>
      <c r="P205" s="141" t="s">
        <v>4362</v>
      </c>
    </row>
    <row r="206" spans="1:16" ht="25.5">
      <c r="A206" s="141">
        <v>76807</v>
      </c>
      <c r="B206" s="141" t="s">
        <v>4325</v>
      </c>
      <c r="C206" s="142">
        <v>41201</v>
      </c>
      <c r="D206" s="141">
        <v>1178</v>
      </c>
      <c r="E206" s="141" t="str">
        <f t="shared" si="16"/>
        <v>001</v>
      </c>
      <c r="F206" s="141" t="s">
        <v>4326</v>
      </c>
      <c r="G206" s="141" t="str">
        <f t="shared" si="18"/>
        <v>0245</v>
      </c>
      <c r="H206" s="141" t="s">
        <v>2367</v>
      </c>
      <c r="I206" s="141" t="str">
        <f t="shared" si="17"/>
        <v>999</v>
      </c>
      <c r="J206" s="141" t="s">
        <v>4327</v>
      </c>
      <c r="K206" s="141">
        <v>3137</v>
      </c>
      <c r="L206" s="141">
        <v>11</v>
      </c>
      <c r="M206" s="141">
        <v>0</v>
      </c>
      <c r="N206" s="141">
        <v>18000</v>
      </c>
      <c r="O206" s="141" t="s">
        <v>4409</v>
      </c>
      <c r="P206" s="141" t="s">
        <v>4340</v>
      </c>
    </row>
    <row r="207" spans="1:16" ht="25.5">
      <c r="A207" s="141">
        <v>76807</v>
      </c>
      <c r="B207" s="141" t="s">
        <v>4325</v>
      </c>
      <c r="C207" s="142">
        <v>41201</v>
      </c>
      <c r="D207" s="141">
        <v>1178</v>
      </c>
      <c r="E207" s="141" t="str">
        <f t="shared" si="16"/>
        <v>001</v>
      </c>
      <c r="F207" s="141" t="s">
        <v>4326</v>
      </c>
      <c r="G207" s="141" t="str">
        <f t="shared" si="18"/>
        <v>0245</v>
      </c>
      <c r="H207" s="141" t="s">
        <v>2367</v>
      </c>
      <c r="I207" s="141" t="str">
        <f t="shared" si="17"/>
        <v>999</v>
      </c>
      <c r="J207" s="141" t="s">
        <v>4327</v>
      </c>
      <c r="K207" s="141">
        <v>3138</v>
      </c>
      <c r="L207" s="141">
        <v>9</v>
      </c>
      <c r="M207" s="141">
        <v>0</v>
      </c>
      <c r="N207" s="141">
        <v>33000</v>
      </c>
      <c r="O207" s="141" t="s">
        <v>4334</v>
      </c>
      <c r="P207" s="141" t="s">
        <v>4362</v>
      </c>
    </row>
    <row r="208" spans="1:16" ht="25.5">
      <c r="A208" s="141">
        <v>76807</v>
      </c>
      <c r="B208" s="141" t="s">
        <v>4325</v>
      </c>
      <c r="C208" s="142">
        <v>41201</v>
      </c>
      <c r="D208" s="141">
        <v>1178</v>
      </c>
      <c r="E208" s="141" t="str">
        <f t="shared" si="16"/>
        <v>001</v>
      </c>
      <c r="F208" s="141" t="s">
        <v>4326</v>
      </c>
      <c r="G208" s="141" t="str">
        <f t="shared" si="18"/>
        <v>0245</v>
      </c>
      <c r="H208" s="141" t="s">
        <v>2367</v>
      </c>
      <c r="I208" s="141" t="str">
        <f t="shared" si="17"/>
        <v>999</v>
      </c>
      <c r="J208" s="141" t="s">
        <v>4327</v>
      </c>
      <c r="K208" s="141">
        <v>3139</v>
      </c>
      <c r="L208" s="141">
        <v>6</v>
      </c>
      <c r="M208" s="141">
        <v>0</v>
      </c>
      <c r="N208" s="141">
        <v>26000</v>
      </c>
      <c r="O208" s="141" t="s">
        <v>4334</v>
      </c>
      <c r="P208" s="141" t="s">
        <v>4413</v>
      </c>
    </row>
    <row r="209" spans="1:16" ht="25.5">
      <c r="A209" s="141">
        <v>76807</v>
      </c>
      <c r="B209" s="141" t="s">
        <v>4325</v>
      </c>
      <c r="C209" s="142">
        <v>41201</v>
      </c>
      <c r="D209" s="141">
        <v>1178</v>
      </c>
      <c r="E209" s="141" t="str">
        <f t="shared" si="16"/>
        <v>001</v>
      </c>
      <c r="F209" s="141" t="s">
        <v>4326</v>
      </c>
      <c r="G209" s="141" t="str">
        <f t="shared" si="18"/>
        <v>0245</v>
      </c>
      <c r="H209" s="141" t="s">
        <v>2367</v>
      </c>
      <c r="I209" s="141" t="str">
        <f t="shared" si="17"/>
        <v>999</v>
      </c>
      <c r="J209" s="141" t="s">
        <v>4327</v>
      </c>
      <c r="K209" s="141">
        <v>3140</v>
      </c>
      <c r="L209" s="141">
        <v>5</v>
      </c>
      <c r="M209" s="141">
        <v>0</v>
      </c>
      <c r="N209" s="141">
        <v>26000</v>
      </c>
      <c r="O209" s="141" t="s">
        <v>4357</v>
      </c>
      <c r="P209" s="141" t="s">
        <v>4413</v>
      </c>
    </row>
    <row r="210" spans="1:16" ht="25.5">
      <c r="A210" s="141">
        <v>76807</v>
      </c>
      <c r="B210" s="141" t="s">
        <v>4325</v>
      </c>
      <c r="C210" s="142">
        <v>41201</v>
      </c>
      <c r="D210" s="141">
        <v>1178</v>
      </c>
      <c r="E210" s="141" t="str">
        <f t="shared" si="16"/>
        <v>001</v>
      </c>
      <c r="F210" s="141" t="s">
        <v>4326</v>
      </c>
      <c r="G210" s="141" t="str">
        <f t="shared" si="18"/>
        <v>0245</v>
      </c>
      <c r="H210" s="141" t="s">
        <v>2367</v>
      </c>
      <c r="I210" s="141" t="str">
        <f t="shared" si="17"/>
        <v>999</v>
      </c>
      <c r="J210" s="141" t="s">
        <v>4327</v>
      </c>
      <c r="K210" s="141">
        <v>3141</v>
      </c>
      <c r="L210" s="141">
        <v>2</v>
      </c>
      <c r="M210" s="141">
        <v>0</v>
      </c>
      <c r="N210" s="141">
        <v>9000</v>
      </c>
      <c r="O210" s="141" t="s">
        <v>4357</v>
      </c>
      <c r="P210" s="141" t="s">
        <v>4362</v>
      </c>
    </row>
    <row r="211" spans="1:16" ht="25.5">
      <c r="A211" s="141">
        <v>76807</v>
      </c>
      <c r="B211" s="141" t="s">
        <v>4325</v>
      </c>
      <c r="C211" s="142">
        <v>41201</v>
      </c>
      <c r="D211" s="141">
        <v>1178</v>
      </c>
      <c r="E211" s="141" t="str">
        <f t="shared" si="16"/>
        <v>001</v>
      </c>
      <c r="F211" s="141" t="s">
        <v>4326</v>
      </c>
      <c r="G211" s="141" t="str">
        <f t="shared" si="18"/>
        <v>0245</v>
      </c>
      <c r="H211" s="141" t="s">
        <v>2367</v>
      </c>
      <c r="I211" s="141" t="str">
        <f t="shared" si="17"/>
        <v>999</v>
      </c>
      <c r="J211" s="141" t="s">
        <v>4327</v>
      </c>
      <c r="K211" s="141">
        <v>3142</v>
      </c>
      <c r="L211" s="141">
        <v>1</v>
      </c>
      <c r="M211" s="141">
        <v>0</v>
      </c>
      <c r="N211" s="141">
        <v>60000</v>
      </c>
      <c r="O211" s="141" t="s">
        <v>4460</v>
      </c>
      <c r="P211" s="141" t="s">
        <v>4461</v>
      </c>
    </row>
    <row r="212" spans="1:16" ht="25.5">
      <c r="A212" s="141">
        <v>76807</v>
      </c>
      <c r="B212" s="141" t="s">
        <v>4325</v>
      </c>
      <c r="C212" s="142">
        <v>41201</v>
      </c>
      <c r="D212" s="141">
        <v>1178</v>
      </c>
      <c r="E212" s="141" t="str">
        <f t="shared" si="16"/>
        <v>001</v>
      </c>
      <c r="F212" s="141" t="s">
        <v>4326</v>
      </c>
      <c r="G212" s="141" t="str">
        <f t="shared" si="18"/>
        <v>0245</v>
      </c>
      <c r="H212" s="141" t="s">
        <v>2367</v>
      </c>
      <c r="I212" s="141" t="str">
        <f t="shared" si="17"/>
        <v>999</v>
      </c>
      <c r="J212" s="141" t="s">
        <v>4327</v>
      </c>
      <c r="K212" s="141">
        <v>3143</v>
      </c>
      <c r="L212" s="141">
        <v>1</v>
      </c>
      <c r="M212" s="141">
        <v>0</v>
      </c>
      <c r="N212" s="141">
        <v>3000</v>
      </c>
      <c r="O212" s="141" t="s">
        <v>4388</v>
      </c>
      <c r="P212" s="141" t="s">
        <v>4462</v>
      </c>
    </row>
    <row r="213" spans="1:16" ht="25.5">
      <c r="A213" s="141">
        <v>76807</v>
      </c>
      <c r="B213" s="141" t="s">
        <v>4325</v>
      </c>
      <c r="C213" s="142">
        <v>41201</v>
      </c>
      <c r="D213" s="141">
        <v>1178</v>
      </c>
      <c r="E213" s="141" t="str">
        <f t="shared" si="16"/>
        <v>001</v>
      </c>
      <c r="F213" s="141" t="s">
        <v>4326</v>
      </c>
      <c r="G213" s="141" t="str">
        <f t="shared" si="18"/>
        <v>0245</v>
      </c>
      <c r="H213" s="141" t="s">
        <v>2367</v>
      </c>
      <c r="I213" s="141" t="str">
        <f t="shared" si="17"/>
        <v>999</v>
      </c>
      <c r="J213" s="141" t="s">
        <v>4327</v>
      </c>
      <c r="K213" s="141">
        <v>3144</v>
      </c>
      <c r="L213" s="141">
        <v>1</v>
      </c>
      <c r="M213" s="141">
        <v>0</v>
      </c>
      <c r="N213" s="141">
        <v>3000</v>
      </c>
      <c r="O213" s="141" t="s">
        <v>4334</v>
      </c>
      <c r="P213" s="141" t="s">
        <v>4335</v>
      </c>
    </row>
    <row r="214" spans="1:16" ht="25.5">
      <c r="A214" s="141">
        <v>76807</v>
      </c>
      <c r="B214" s="141" t="s">
        <v>4325</v>
      </c>
      <c r="C214" s="142">
        <v>41201</v>
      </c>
      <c r="D214" s="141">
        <v>1178</v>
      </c>
      <c r="E214" s="141" t="str">
        <f t="shared" si="16"/>
        <v>001</v>
      </c>
      <c r="F214" s="141" t="s">
        <v>4326</v>
      </c>
      <c r="G214" s="141" t="str">
        <f t="shared" si="18"/>
        <v>0245</v>
      </c>
      <c r="H214" s="141" t="s">
        <v>2367</v>
      </c>
      <c r="I214" s="141" t="str">
        <f t="shared" si="17"/>
        <v>999</v>
      </c>
      <c r="J214" s="141" t="s">
        <v>4327</v>
      </c>
      <c r="K214" s="141">
        <v>3145</v>
      </c>
      <c r="L214" s="141">
        <v>8</v>
      </c>
      <c r="M214" s="141">
        <v>0</v>
      </c>
      <c r="N214" s="141">
        <v>4000</v>
      </c>
      <c r="O214" s="141" t="s">
        <v>4350</v>
      </c>
      <c r="P214" s="141"/>
    </row>
    <row r="215" spans="1:16" ht="25.5">
      <c r="A215" s="141">
        <v>76807</v>
      </c>
      <c r="B215" s="141" t="s">
        <v>4325</v>
      </c>
      <c r="C215" s="142">
        <v>41201</v>
      </c>
      <c r="D215" s="141">
        <v>1179</v>
      </c>
      <c r="E215" s="141" t="str">
        <f t="shared" si="16"/>
        <v>001</v>
      </c>
      <c r="F215" s="141" t="s">
        <v>4326</v>
      </c>
      <c r="G215" s="141" t="str">
        <f>"0261"</f>
        <v>0261</v>
      </c>
      <c r="H215" s="141" t="s">
        <v>2376</v>
      </c>
      <c r="I215" s="141" t="str">
        <f t="shared" si="17"/>
        <v>999</v>
      </c>
      <c r="J215" s="141" t="s">
        <v>4327</v>
      </c>
      <c r="K215" s="141">
        <v>3146</v>
      </c>
      <c r="L215" s="141">
        <v>8</v>
      </c>
      <c r="M215" s="141">
        <v>0</v>
      </c>
      <c r="N215" s="141">
        <v>4000</v>
      </c>
      <c r="O215" s="141" t="s">
        <v>4350</v>
      </c>
      <c r="P215" s="141"/>
    </row>
    <row r="216" spans="1:16" ht="25.5">
      <c r="A216" s="141">
        <v>76807</v>
      </c>
      <c r="B216" s="141" t="s">
        <v>4325</v>
      </c>
      <c r="C216" s="142">
        <v>41201</v>
      </c>
      <c r="D216" s="141">
        <v>380</v>
      </c>
      <c r="E216" s="141" t="str">
        <f t="shared" si="16"/>
        <v>001</v>
      </c>
      <c r="F216" s="141" t="s">
        <v>4326</v>
      </c>
      <c r="G216" s="141" t="str">
        <f>"0271"</f>
        <v>0271</v>
      </c>
      <c r="H216" s="141" t="s">
        <v>686</v>
      </c>
      <c r="I216" s="141" t="str">
        <f t="shared" si="17"/>
        <v>999</v>
      </c>
      <c r="J216" s="141" t="s">
        <v>4327</v>
      </c>
      <c r="K216" s="141">
        <v>890</v>
      </c>
      <c r="L216" s="141">
        <v>1</v>
      </c>
      <c r="M216" s="141">
        <v>0</v>
      </c>
      <c r="N216" s="141">
        <v>4000</v>
      </c>
      <c r="O216" s="141" t="s">
        <v>4330</v>
      </c>
      <c r="P216" s="141" t="s">
        <v>4348</v>
      </c>
    </row>
    <row r="217" spans="1:16" ht="25.5">
      <c r="A217" s="141">
        <v>76807</v>
      </c>
      <c r="B217" s="141" t="s">
        <v>4325</v>
      </c>
      <c r="C217" s="142">
        <v>41201</v>
      </c>
      <c r="D217" s="141">
        <v>380</v>
      </c>
      <c r="E217" s="141" t="str">
        <f t="shared" si="16"/>
        <v>001</v>
      </c>
      <c r="F217" s="141" t="s">
        <v>4326</v>
      </c>
      <c r="G217" s="141" t="str">
        <f>"0271"</f>
        <v>0271</v>
      </c>
      <c r="H217" s="141" t="s">
        <v>686</v>
      </c>
      <c r="I217" s="141" t="str">
        <f t="shared" si="17"/>
        <v>999</v>
      </c>
      <c r="J217" s="141" t="s">
        <v>4327</v>
      </c>
      <c r="K217" s="141">
        <v>891</v>
      </c>
      <c r="L217" s="141">
        <v>1</v>
      </c>
      <c r="M217" s="141">
        <v>0</v>
      </c>
      <c r="N217" s="141">
        <v>4000</v>
      </c>
      <c r="O217" s="141" t="s">
        <v>4330</v>
      </c>
      <c r="P217" s="141" t="s">
        <v>4348</v>
      </c>
    </row>
    <row r="218" spans="1:16" ht="25.5">
      <c r="A218" s="141">
        <v>76807</v>
      </c>
      <c r="B218" s="141" t="s">
        <v>4325</v>
      </c>
      <c r="C218" s="142">
        <v>41201</v>
      </c>
      <c r="D218" s="141">
        <v>380</v>
      </c>
      <c r="E218" s="141" t="str">
        <f t="shared" si="16"/>
        <v>001</v>
      </c>
      <c r="F218" s="141" t="s">
        <v>4326</v>
      </c>
      <c r="G218" s="141" t="str">
        <f>"0271"</f>
        <v>0271</v>
      </c>
      <c r="H218" s="141" t="s">
        <v>686</v>
      </c>
      <c r="I218" s="141" t="str">
        <f t="shared" si="17"/>
        <v>999</v>
      </c>
      <c r="J218" s="141" t="s">
        <v>4327</v>
      </c>
      <c r="K218" s="141">
        <v>892</v>
      </c>
      <c r="L218" s="141">
        <v>1</v>
      </c>
      <c r="M218" s="141">
        <v>0</v>
      </c>
      <c r="N218" s="141">
        <v>28000</v>
      </c>
      <c r="O218" s="141" t="s">
        <v>4463</v>
      </c>
      <c r="P218" s="141" t="s">
        <v>4430</v>
      </c>
    </row>
    <row r="219" spans="1:16" ht="25.5">
      <c r="A219" s="141">
        <v>76807</v>
      </c>
      <c r="B219" s="141" t="s">
        <v>4325</v>
      </c>
      <c r="C219" s="142">
        <v>41201</v>
      </c>
      <c r="D219" s="141">
        <v>380</v>
      </c>
      <c r="E219" s="141" t="str">
        <f t="shared" si="16"/>
        <v>001</v>
      </c>
      <c r="F219" s="141" t="s">
        <v>4326</v>
      </c>
      <c r="G219" s="141" t="str">
        <f>"0271"</f>
        <v>0271</v>
      </c>
      <c r="H219" s="141" t="s">
        <v>686</v>
      </c>
      <c r="I219" s="141" t="str">
        <f t="shared" si="17"/>
        <v>999</v>
      </c>
      <c r="J219" s="141" t="s">
        <v>4327</v>
      </c>
      <c r="K219" s="141">
        <v>893</v>
      </c>
      <c r="L219" s="141">
        <v>1</v>
      </c>
      <c r="M219" s="141">
        <v>0</v>
      </c>
      <c r="N219" s="141">
        <v>12000</v>
      </c>
      <c r="O219" s="141" t="s">
        <v>4351</v>
      </c>
      <c r="P219" s="141" t="s">
        <v>4464</v>
      </c>
    </row>
    <row r="220" spans="1:16" ht="25.5">
      <c r="A220" s="141">
        <v>76807</v>
      </c>
      <c r="B220" s="141" t="s">
        <v>4325</v>
      </c>
      <c r="C220" s="142">
        <v>41201</v>
      </c>
      <c r="D220" s="141">
        <v>380</v>
      </c>
      <c r="E220" s="141" t="str">
        <f t="shared" si="16"/>
        <v>001</v>
      </c>
      <c r="F220" s="141" t="s">
        <v>4326</v>
      </c>
      <c r="G220" s="141" t="str">
        <f>"0271"</f>
        <v>0271</v>
      </c>
      <c r="H220" s="141" t="s">
        <v>686</v>
      </c>
      <c r="I220" s="141" t="str">
        <f t="shared" si="17"/>
        <v>999</v>
      </c>
      <c r="J220" s="141" t="s">
        <v>4327</v>
      </c>
      <c r="K220" s="141">
        <v>894</v>
      </c>
      <c r="L220" s="141">
        <v>1</v>
      </c>
      <c r="M220" s="141">
        <v>0</v>
      </c>
      <c r="N220" s="141">
        <v>147000</v>
      </c>
      <c r="O220" s="141" t="s">
        <v>4439</v>
      </c>
      <c r="P220" s="141" t="s">
        <v>4465</v>
      </c>
    </row>
    <row r="221" spans="1:16" ht="25.5">
      <c r="A221" s="141">
        <v>76807</v>
      </c>
      <c r="B221" s="141" t="s">
        <v>4325</v>
      </c>
      <c r="C221" s="142">
        <v>41201</v>
      </c>
      <c r="D221" s="141">
        <v>470</v>
      </c>
      <c r="E221" s="141" t="str">
        <f t="shared" si="16"/>
        <v>001</v>
      </c>
      <c r="F221" s="141" t="s">
        <v>4326</v>
      </c>
      <c r="G221" s="141" t="str">
        <f t="shared" ref="G221:G226" si="19">"0272"</f>
        <v>0272</v>
      </c>
      <c r="H221" s="141" t="s">
        <v>3744</v>
      </c>
      <c r="I221" s="141" t="str">
        <f t="shared" si="17"/>
        <v>999</v>
      </c>
      <c r="J221" s="141" t="s">
        <v>4327</v>
      </c>
      <c r="K221" s="141">
        <v>1005</v>
      </c>
      <c r="L221" s="141">
        <v>1</v>
      </c>
      <c r="M221" s="141">
        <v>0</v>
      </c>
      <c r="N221" s="141">
        <v>5000</v>
      </c>
      <c r="O221" s="141" t="s">
        <v>4332</v>
      </c>
      <c r="P221" s="141" t="s">
        <v>4449</v>
      </c>
    </row>
    <row r="222" spans="1:16" ht="25.5">
      <c r="A222" s="141">
        <v>76807</v>
      </c>
      <c r="B222" s="141" t="s">
        <v>4325</v>
      </c>
      <c r="C222" s="142">
        <v>41201</v>
      </c>
      <c r="D222" s="141">
        <v>470</v>
      </c>
      <c r="E222" s="141" t="str">
        <f t="shared" si="16"/>
        <v>001</v>
      </c>
      <c r="F222" s="141" t="s">
        <v>4326</v>
      </c>
      <c r="G222" s="141" t="str">
        <f t="shared" si="19"/>
        <v>0272</v>
      </c>
      <c r="H222" s="141" t="s">
        <v>3744</v>
      </c>
      <c r="I222" s="141" t="str">
        <f t="shared" si="17"/>
        <v>999</v>
      </c>
      <c r="J222" s="141" t="s">
        <v>4327</v>
      </c>
      <c r="K222" s="141">
        <v>1006</v>
      </c>
      <c r="L222" s="141">
        <v>1</v>
      </c>
      <c r="M222" s="141">
        <v>0</v>
      </c>
      <c r="N222" s="141">
        <v>2000</v>
      </c>
      <c r="O222" s="141" t="s">
        <v>4330</v>
      </c>
      <c r="P222" s="141" t="s">
        <v>4443</v>
      </c>
    </row>
    <row r="223" spans="1:16" ht="25.5">
      <c r="A223" s="141">
        <v>76807</v>
      </c>
      <c r="B223" s="141" t="s">
        <v>4325</v>
      </c>
      <c r="C223" s="142">
        <v>41201</v>
      </c>
      <c r="D223" s="141">
        <v>470</v>
      </c>
      <c r="E223" s="141" t="str">
        <f t="shared" si="16"/>
        <v>001</v>
      </c>
      <c r="F223" s="141" t="s">
        <v>4326</v>
      </c>
      <c r="G223" s="141" t="str">
        <f t="shared" si="19"/>
        <v>0272</v>
      </c>
      <c r="H223" s="141" t="s">
        <v>3744</v>
      </c>
      <c r="I223" s="141" t="str">
        <f t="shared" si="17"/>
        <v>999</v>
      </c>
      <c r="J223" s="141" t="s">
        <v>4327</v>
      </c>
      <c r="K223" s="141">
        <v>1007</v>
      </c>
      <c r="L223" s="141">
        <v>1</v>
      </c>
      <c r="M223" s="141">
        <v>0</v>
      </c>
      <c r="N223" s="141">
        <v>63000</v>
      </c>
      <c r="O223" s="141" t="s">
        <v>4353</v>
      </c>
      <c r="P223" s="141" t="s">
        <v>4402</v>
      </c>
    </row>
    <row r="224" spans="1:16" ht="25.5">
      <c r="A224" s="141">
        <v>76807</v>
      </c>
      <c r="B224" s="141" t="s">
        <v>4325</v>
      </c>
      <c r="C224" s="142">
        <v>41201</v>
      </c>
      <c r="D224" s="141">
        <v>470</v>
      </c>
      <c r="E224" s="141" t="str">
        <f t="shared" si="16"/>
        <v>001</v>
      </c>
      <c r="F224" s="141" t="s">
        <v>4326</v>
      </c>
      <c r="G224" s="141" t="str">
        <f t="shared" si="19"/>
        <v>0272</v>
      </c>
      <c r="H224" s="141" t="s">
        <v>3744</v>
      </c>
      <c r="I224" s="141" t="str">
        <f t="shared" si="17"/>
        <v>999</v>
      </c>
      <c r="J224" s="141" t="s">
        <v>4327</v>
      </c>
      <c r="K224" s="141">
        <v>1008</v>
      </c>
      <c r="L224" s="141">
        <v>1</v>
      </c>
      <c r="M224" s="141">
        <v>0</v>
      </c>
      <c r="N224" s="141">
        <v>3000</v>
      </c>
      <c r="O224" s="141" t="s">
        <v>4353</v>
      </c>
      <c r="P224" s="141" t="s">
        <v>4354</v>
      </c>
    </row>
    <row r="225" spans="1:16" ht="25.5">
      <c r="A225" s="141">
        <v>76807</v>
      </c>
      <c r="B225" s="141" t="s">
        <v>4325</v>
      </c>
      <c r="C225" s="142">
        <v>41201</v>
      </c>
      <c r="D225" s="141">
        <v>470</v>
      </c>
      <c r="E225" s="141" t="str">
        <f t="shared" si="16"/>
        <v>001</v>
      </c>
      <c r="F225" s="141" t="s">
        <v>4326</v>
      </c>
      <c r="G225" s="141" t="str">
        <f t="shared" si="19"/>
        <v>0272</v>
      </c>
      <c r="H225" s="141" t="s">
        <v>3744</v>
      </c>
      <c r="I225" s="141" t="str">
        <f t="shared" si="17"/>
        <v>999</v>
      </c>
      <c r="J225" s="141" t="s">
        <v>4327</v>
      </c>
      <c r="K225" s="141">
        <v>1009</v>
      </c>
      <c r="L225" s="141">
        <v>1</v>
      </c>
      <c r="M225" s="141">
        <v>0</v>
      </c>
      <c r="N225" s="141">
        <v>112000</v>
      </c>
      <c r="O225" s="141" t="s">
        <v>4366</v>
      </c>
      <c r="P225" s="141" t="s">
        <v>4367</v>
      </c>
    </row>
    <row r="226" spans="1:16" ht="25.5">
      <c r="A226" s="141">
        <v>76807</v>
      </c>
      <c r="B226" s="141" t="s">
        <v>4325</v>
      </c>
      <c r="C226" s="142">
        <v>41201</v>
      </c>
      <c r="D226" s="141">
        <v>470</v>
      </c>
      <c r="E226" s="141" t="str">
        <f t="shared" si="16"/>
        <v>001</v>
      </c>
      <c r="F226" s="141" t="s">
        <v>4326</v>
      </c>
      <c r="G226" s="141" t="str">
        <f t="shared" si="19"/>
        <v>0272</v>
      </c>
      <c r="H226" s="141" t="s">
        <v>3744</v>
      </c>
      <c r="I226" s="141" t="str">
        <f t="shared" si="17"/>
        <v>999</v>
      </c>
      <c r="J226" s="141" t="s">
        <v>4327</v>
      </c>
      <c r="K226" s="141">
        <v>1010</v>
      </c>
      <c r="L226" s="141">
        <v>8</v>
      </c>
      <c r="M226" s="141">
        <v>0</v>
      </c>
      <c r="N226" s="141">
        <v>20000</v>
      </c>
      <c r="O226" s="141" t="s">
        <v>4357</v>
      </c>
      <c r="P226" s="141" t="s">
        <v>4363</v>
      </c>
    </row>
    <row r="227" spans="1:16" ht="25.5">
      <c r="A227" s="141">
        <v>76807</v>
      </c>
      <c r="B227" s="141" t="s">
        <v>4325</v>
      </c>
      <c r="C227" s="142">
        <v>41201</v>
      </c>
      <c r="D227" s="141">
        <v>714</v>
      </c>
      <c r="E227" s="141" t="str">
        <f t="shared" si="16"/>
        <v>001</v>
      </c>
      <c r="F227" s="141" t="s">
        <v>4326</v>
      </c>
      <c r="G227" s="141" t="str">
        <f>"0273"</f>
        <v>0273</v>
      </c>
      <c r="H227" s="141" t="s">
        <v>2664</v>
      </c>
      <c r="I227" s="141" t="str">
        <f t="shared" si="17"/>
        <v>999</v>
      </c>
      <c r="J227" s="141" t="s">
        <v>4327</v>
      </c>
      <c r="K227" s="141">
        <v>2079</v>
      </c>
      <c r="L227" s="141">
        <v>1</v>
      </c>
      <c r="M227" s="141">
        <v>0</v>
      </c>
      <c r="N227" s="141">
        <v>13000</v>
      </c>
      <c r="O227" s="141" t="s">
        <v>4328</v>
      </c>
      <c r="P227" s="141" t="s">
        <v>4466</v>
      </c>
    </row>
    <row r="228" spans="1:16" ht="25.5">
      <c r="A228" s="141">
        <v>76807</v>
      </c>
      <c r="B228" s="141" t="s">
        <v>4325</v>
      </c>
      <c r="C228" s="142">
        <v>41201</v>
      </c>
      <c r="D228" s="141">
        <v>714</v>
      </c>
      <c r="E228" s="141" t="str">
        <f t="shared" si="16"/>
        <v>001</v>
      </c>
      <c r="F228" s="141" t="s">
        <v>4326</v>
      </c>
      <c r="G228" s="141" t="str">
        <f>"0273"</f>
        <v>0273</v>
      </c>
      <c r="H228" s="141" t="s">
        <v>2664</v>
      </c>
      <c r="I228" s="141" t="str">
        <f t="shared" si="17"/>
        <v>999</v>
      </c>
      <c r="J228" s="141" t="s">
        <v>4327</v>
      </c>
      <c r="K228" s="141">
        <v>2080</v>
      </c>
      <c r="L228" s="141">
        <v>1</v>
      </c>
      <c r="M228" s="141">
        <v>0</v>
      </c>
      <c r="N228" s="141">
        <v>4000</v>
      </c>
      <c r="O228" s="141" t="s">
        <v>4397</v>
      </c>
      <c r="P228" s="141" t="s">
        <v>4467</v>
      </c>
    </row>
    <row r="229" spans="1:16" ht="25.5">
      <c r="A229" s="141">
        <v>76807</v>
      </c>
      <c r="B229" s="141" t="s">
        <v>4325</v>
      </c>
      <c r="C229" s="142">
        <v>41201</v>
      </c>
      <c r="D229" s="141">
        <v>714</v>
      </c>
      <c r="E229" s="141" t="str">
        <f t="shared" si="16"/>
        <v>001</v>
      </c>
      <c r="F229" s="141" t="s">
        <v>4326</v>
      </c>
      <c r="G229" s="141" t="str">
        <f>"0273"</f>
        <v>0273</v>
      </c>
      <c r="H229" s="141" t="s">
        <v>2664</v>
      </c>
      <c r="I229" s="141" t="str">
        <f t="shared" si="17"/>
        <v>999</v>
      </c>
      <c r="J229" s="141" t="s">
        <v>4327</v>
      </c>
      <c r="K229" s="141">
        <v>2081</v>
      </c>
      <c r="L229" s="141">
        <v>1</v>
      </c>
      <c r="M229" s="141">
        <v>0</v>
      </c>
      <c r="N229" s="141">
        <v>4000</v>
      </c>
      <c r="O229" s="141" t="s">
        <v>4397</v>
      </c>
      <c r="P229" s="141" t="s">
        <v>4467</v>
      </c>
    </row>
    <row r="230" spans="1:16" ht="25.5">
      <c r="A230" s="141">
        <v>76807</v>
      </c>
      <c r="B230" s="141" t="s">
        <v>4325</v>
      </c>
      <c r="C230" s="142">
        <v>41201</v>
      </c>
      <c r="D230" s="141">
        <v>399</v>
      </c>
      <c r="E230" s="141" t="str">
        <f t="shared" si="16"/>
        <v>001</v>
      </c>
      <c r="F230" s="141" t="s">
        <v>4326</v>
      </c>
      <c r="G230" s="141" t="str">
        <f>"0274"</f>
        <v>0274</v>
      </c>
      <c r="H230" s="141" t="s">
        <v>693</v>
      </c>
      <c r="I230" s="141" t="str">
        <f t="shared" si="17"/>
        <v>999</v>
      </c>
      <c r="J230" s="141" t="s">
        <v>4327</v>
      </c>
      <c r="K230" s="141">
        <v>1066</v>
      </c>
      <c r="L230" s="141">
        <v>1</v>
      </c>
      <c r="M230" s="141">
        <v>0</v>
      </c>
      <c r="N230" s="141">
        <v>27000</v>
      </c>
      <c r="O230" s="141" t="s">
        <v>4468</v>
      </c>
      <c r="P230" s="141" t="s">
        <v>4469</v>
      </c>
    </row>
    <row r="231" spans="1:16" ht="25.5">
      <c r="A231" s="141">
        <v>76807</v>
      </c>
      <c r="B231" s="141" t="s">
        <v>4325</v>
      </c>
      <c r="C231" s="142">
        <v>41201</v>
      </c>
      <c r="D231" s="141">
        <v>312</v>
      </c>
      <c r="E231" s="141" t="str">
        <f t="shared" si="16"/>
        <v>001</v>
      </c>
      <c r="F231" s="141" t="s">
        <v>4326</v>
      </c>
      <c r="G231" s="141" t="str">
        <f>"0277"</f>
        <v>0277</v>
      </c>
      <c r="H231" s="141" t="s">
        <v>1237</v>
      </c>
      <c r="I231" s="141" t="str">
        <f t="shared" si="17"/>
        <v>999</v>
      </c>
      <c r="J231" s="141" t="s">
        <v>4327</v>
      </c>
      <c r="K231" s="141">
        <v>261</v>
      </c>
      <c r="L231" s="141">
        <v>1</v>
      </c>
      <c r="M231" s="141">
        <v>0</v>
      </c>
      <c r="N231" s="141">
        <v>17000</v>
      </c>
      <c r="O231" s="141" t="s">
        <v>4463</v>
      </c>
      <c r="P231" s="141" t="s">
        <v>4470</v>
      </c>
    </row>
    <row r="232" spans="1:16" ht="25.5">
      <c r="A232" s="141">
        <v>76807</v>
      </c>
      <c r="B232" s="141" t="s">
        <v>4325</v>
      </c>
      <c r="C232" s="142">
        <v>41201</v>
      </c>
      <c r="D232" s="141">
        <v>312</v>
      </c>
      <c r="E232" s="141" t="str">
        <f t="shared" si="16"/>
        <v>001</v>
      </c>
      <c r="F232" s="141" t="s">
        <v>4326</v>
      </c>
      <c r="G232" s="141" t="str">
        <f>"0277"</f>
        <v>0277</v>
      </c>
      <c r="H232" s="141" t="s">
        <v>1237</v>
      </c>
      <c r="I232" s="141" t="str">
        <f t="shared" si="17"/>
        <v>999</v>
      </c>
      <c r="J232" s="141" t="s">
        <v>4327</v>
      </c>
      <c r="K232" s="141">
        <v>262</v>
      </c>
      <c r="L232" s="141">
        <v>1</v>
      </c>
      <c r="M232" s="141">
        <v>0</v>
      </c>
      <c r="N232" s="141">
        <v>7000</v>
      </c>
      <c r="O232" s="141" t="s">
        <v>4330</v>
      </c>
      <c r="P232" s="141" t="s">
        <v>4471</v>
      </c>
    </row>
    <row r="233" spans="1:16" ht="25.5">
      <c r="A233" s="141">
        <v>76807</v>
      </c>
      <c r="B233" s="141" t="s">
        <v>4325</v>
      </c>
      <c r="C233" s="142">
        <v>41201</v>
      </c>
      <c r="D233" s="141">
        <v>452</v>
      </c>
      <c r="E233" s="141" t="str">
        <f t="shared" si="16"/>
        <v>001</v>
      </c>
      <c r="F233" s="141" t="s">
        <v>4326</v>
      </c>
      <c r="G233" s="141" t="str">
        <f>"0278"</f>
        <v>0278</v>
      </c>
      <c r="H233" s="141" t="s">
        <v>3747</v>
      </c>
      <c r="I233" s="141" t="str">
        <f t="shared" si="17"/>
        <v>999</v>
      </c>
      <c r="J233" s="141" t="s">
        <v>4327</v>
      </c>
      <c r="K233" s="141">
        <v>1352</v>
      </c>
      <c r="L233" s="141">
        <v>1</v>
      </c>
      <c r="M233" s="141">
        <v>0</v>
      </c>
      <c r="N233" s="141">
        <v>9000</v>
      </c>
      <c r="O233" s="141" t="s">
        <v>4472</v>
      </c>
      <c r="P233" s="141" t="s">
        <v>4473</v>
      </c>
    </row>
    <row r="234" spans="1:16" ht="25.5">
      <c r="A234" s="141">
        <v>76807</v>
      </c>
      <c r="B234" s="141" t="s">
        <v>4325</v>
      </c>
      <c r="C234" s="142">
        <v>41201</v>
      </c>
      <c r="D234" s="141">
        <v>452</v>
      </c>
      <c r="E234" s="141" t="str">
        <f t="shared" si="16"/>
        <v>001</v>
      </c>
      <c r="F234" s="141" t="s">
        <v>4326</v>
      </c>
      <c r="G234" s="141" t="str">
        <f>"0278"</f>
        <v>0278</v>
      </c>
      <c r="H234" s="141" t="s">
        <v>3747</v>
      </c>
      <c r="I234" s="141" t="str">
        <f t="shared" si="17"/>
        <v>999</v>
      </c>
      <c r="J234" s="141" t="s">
        <v>4327</v>
      </c>
      <c r="K234" s="141">
        <v>1353</v>
      </c>
      <c r="L234" s="141">
        <v>6</v>
      </c>
      <c r="M234" s="141">
        <v>0</v>
      </c>
      <c r="N234" s="141">
        <v>13000</v>
      </c>
      <c r="O234" s="141" t="s">
        <v>4408</v>
      </c>
      <c r="P234" s="141"/>
    </row>
    <row r="235" spans="1:16" ht="25.5">
      <c r="A235" s="141">
        <v>76807</v>
      </c>
      <c r="B235" s="141" t="s">
        <v>4325</v>
      </c>
      <c r="C235" s="142">
        <v>41201</v>
      </c>
      <c r="D235" s="141">
        <v>452</v>
      </c>
      <c r="E235" s="141" t="str">
        <f t="shared" si="16"/>
        <v>001</v>
      </c>
      <c r="F235" s="141" t="s">
        <v>4326</v>
      </c>
      <c r="G235" s="141" t="str">
        <f>"0278"</f>
        <v>0278</v>
      </c>
      <c r="H235" s="141" t="s">
        <v>3747</v>
      </c>
      <c r="I235" s="141" t="str">
        <f t="shared" si="17"/>
        <v>999</v>
      </c>
      <c r="J235" s="141" t="s">
        <v>4327</v>
      </c>
      <c r="K235" s="141">
        <v>1354</v>
      </c>
      <c r="L235" s="141">
        <v>4</v>
      </c>
      <c r="M235" s="141">
        <v>0</v>
      </c>
      <c r="N235" s="141">
        <v>2000</v>
      </c>
      <c r="O235" s="141" t="s">
        <v>4350</v>
      </c>
      <c r="P235" s="141"/>
    </row>
    <row r="236" spans="1:16" ht="25.5">
      <c r="A236" s="141">
        <v>76807</v>
      </c>
      <c r="B236" s="141" t="s">
        <v>4325</v>
      </c>
      <c r="C236" s="142">
        <v>41201</v>
      </c>
      <c r="D236" s="141">
        <v>450</v>
      </c>
      <c r="E236" s="141" t="str">
        <f t="shared" si="16"/>
        <v>001</v>
      </c>
      <c r="F236" s="141" t="s">
        <v>4326</v>
      </c>
      <c r="G236" s="141" t="str">
        <f t="shared" ref="G236:G242" si="20">"0279"</f>
        <v>0279</v>
      </c>
      <c r="H236" s="141" t="s">
        <v>1615</v>
      </c>
      <c r="I236" s="141" t="str">
        <f t="shared" si="17"/>
        <v>999</v>
      </c>
      <c r="J236" s="141" t="s">
        <v>4327</v>
      </c>
      <c r="K236" s="141">
        <v>1338</v>
      </c>
      <c r="L236" s="141">
        <v>1</v>
      </c>
      <c r="M236" s="141">
        <v>0</v>
      </c>
      <c r="N236" s="141">
        <v>1000</v>
      </c>
      <c r="O236" s="141" t="s">
        <v>4381</v>
      </c>
      <c r="P236" s="141"/>
    </row>
    <row r="237" spans="1:16" ht="25.5">
      <c r="A237" s="141">
        <v>76807</v>
      </c>
      <c r="B237" s="141" t="s">
        <v>4325</v>
      </c>
      <c r="C237" s="142">
        <v>41201</v>
      </c>
      <c r="D237" s="141">
        <v>450</v>
      </c>
      <c r="E237" s="141" t="str">
        <f t="shared" si="16"/>
        <v>001</v>
      </c>
      <c r="F237" s="141" t="s">
        <v>4326</v>
      </c>
      <c r="G237" s="141" t="str">
        <f t="shared" si="20"/>
        <v>0279</v>
      </c>
      <c r="H237" s="141" t="s">
        <v>1615</v>
      </c>
      <c r="I237" s="141" t="str">
        <f t="shared" si="17"/>
        <v>999</v>
      </c>
      <c r="J237" s="141" t="s">
        <v>4327</v>
      </c>
      <c r="K237" s="141">
        <v>1339</v>
      </c>
      <c r="L237" s="141">
        <v>2</v>
      </c>
      <c r="M237" s="141">
        <v>0</v>
      </c>
      <c r="N237" s="141">
        <v>13000</v>
      </c>
      <c r="O237" s="141" t="s">
        <v>4407</v>
      </c>
      <c r="P237" s="141"/>
    </row>
    <row r="238" spans="1:16" ht="25.5">
      <c r="A238" s="141">
        <v>76807</v>
      </c>
      <c r="B238" s="141" t="s">
        <v>4325</v>
      </c>
      <c r="C238" s="142">
        <v>41201</v>
      </c>
      <c r="D238" s="141">
        <v>450</v>
      </c>
      <c r="E238" s="141" t="str">
        <f t="shared" si="16"/>
        <v>001</v>
      </c>
      <c r="F238" s="141" t="s">
        <v>4326</v>
      </c>
      <c r="G238" s="141" t="str">
        <f t="shared" si="20"/>
        <v>0279</v>
      </c>
      <c r="H238" s="141" t="s">
        <v>1615</v>
      </c>
      <c r="I238" s="141" t="str">
        <f t="shared" si="17"/>
        <v>999</v>
      </c>
      <c r="J238" s="141" t="s">
        <v>4327</v>
      </c>
      <c r="K238" s="141">
        <v>1340</v>
      </c>
      <c r="L238" s="141">
        <v>1</v>
      </c>
      <c r="M238" s="141">
        <v>0</v>
      </c>
      <c r="N238" s="141">
        <v>17000</v>
      </c>
      <c r="O238" s="141" t="s">
        <v>4337</v>
      </c>
      <c r="P238" s="141" t="s">
        <v>4474</v>
      </c>
    </row>
    <row r="239" spans="1:16" ht="25.5">
      <c r="A239" s="141">
        <v>76807</v>
      </c>
      <c r="B239" s="141" t="s">
        <v>4325</v>
      </c>
      <c r="C239" s="142">
        <v>41201</v>
      </c>
      <c r="D239" s="141">
        <v>450</v>
      </c>
      <c r="E239" s="141" t="str">
        <f t="shared" si="16"/>
        <v>001</v>
      </c>
      <c r="F239" s="141" t="s">
        <v>4326</v>
      </c>
      <c r="G239" s="141" t="str">
        <f t="shared" si="20"/>
        <v>0279</v>
      </c>
      <c r="H239" s="141" t="s">
        <v>1615</v>
      </c>
      <c r="I239" s="141" t="str">
        <f t="shared" si="17"/>
        <v>999</v>
      </c>
      <c r="J239" s="141" t="s">
        <v>4327</v>
      </c>
      <c r="K239" s="141">
        <v>1341</v>
      </c>
      <c r="L239" s="141">
        <v>8</v>
      </c>
      <c r="M239" s="141">
        <v>0</v>
      </c>
      <c r="N239" s="141">
        <v>4000</v>
      </c>
      <c r="O239" s="141" t="s">
        <v>4350</v>
      </c>
      <c r="P239" s="141"/>
    </row>
    <row r="240" spans="1:16" ht="25.5">
      <c r="A240" s="141">
        <v>76807</v>
      </c>
      <c r="B240" s="141" t="s">
        <v>4325</v>
      </c>
      <c r="C240" s="142">
        <v>41201</v>
      </c>
      <c r="D240" s="141">
        <v>450</v>
      </c>
      <c r="E240" s="141" t="str">
        <f t="shared" si="16"/>
        <v>001</v>
      </c>
      <c r="F240" s="141" t="s">
        <v>4326</v>
      </c>
      <c r="G240" s="141" t="str">
        <f t="shared" si="20"/>
        <v>0279</v>
      </c>
      <c r="H240" s="141" t="s">
        <v>1615</v>
      </c>
      <c r="I240" s="141" t="str">
        <f t="shared" si="17"/>
        <v>999</v>
      </c>
      <c r="J240" s="141" t="s">
        <v>4327</v>
      </c>
      <c r="K240" s="141">
        <v>1342</v>
      </c>
      <c r="L240" s="141">
        <v>4</v>
      </c>
      <c r="M240" s="141">
        <v>0</v>
      </c>
      <c r="N240" s="141">
        <v>9000</v>
      </c>
      <c r="O240" s="141" t="s">
        <v>4408</v>
      </c>
      <c r="P240" s="141"/>
    </row>
    <row r="241" spans="1:16" ht="25.5">
      <c r="A241" s="141">
        <v>76807</v>
      </c>
      <c r="B241" s="141" t="s">
        <v>4325</v>
      </c>
      <c r="C241" s="142">
        <v>41201</v>
      </c>
      <c r="D241" s="141">
        <v>450</v>
      </c>
      <c r="E241" s="141" t="str">
        <f t="shared" si="16"/>
        <v>001</v>
      </c>
      <c r="F241" s="141" t="s">
        <v>4326</v>
      </c>
      <c r="G241" s="141" t="str">
        <f t="shared" si="20"/>
        <v>0279</v>
      </c>
      <c r="H241" s="141" t="s">
        <v>1615</v>
      </c>
      <c r="I241" s="141" t="str">
        <f t="shared" si="17"/>
        <v>999</v>
      </c>
      <c r="J241" s="141" t="s">
        <v>4327</v>
      </c>
      <c r="K241" s="141">
        <v>1343</v>
      </c>
      <c r="L241" s="141">
        <v>8</v>
      </c>
      <c r="M241" s="141">
        <v>0</v>
      </c>
      <c r="N241" s="141">
        <v>20000</v>
      </c>
      <c r="O241" s="141" t="s">
        <v>4334</v>
      </c>
      <c r="P241" s="141" t="s">
        <v>4385</v>
      </c>
    </row>
    <row r="242" spans="1:16" ht="25.5">
      <c r="A242" s="141">
        <v>76807</v>
      </c>
      <c r="B242" s="141" t="s">
        <v>4325</v>
      </c>
      <c r="C242" s="142">
        <v>41201</v>
      </c>
      <c r="D242" s="141">
        <v>450</v>
      </c>
      <c r="E242" s="141" t="str">
        <f t="shared" si="16"/>
        <v>001</v>
      </c>
      <c r="F242" s="141" t="s">
        <v>4326</v>
      </c>
      <c r="G242" s="141" t="str">
        <f t="shared" si="20"/>
        <v>0279</v>
      </c>
      <c r="H242" s="141" t="s">
        <v>1615</v>
      </c>
      <c r="I242" s="141" t="str">
        <f t="shared" si="17"/>
        <v>999</v>
      </c>
      <c r="J242" s="141" t="s">
        <v>4327</v>
      </c>
      <c r="K242" s="141">
        <v>1344</v>
      </c>
      <c r="L242" s="141">
        <v>2</v>
      </c>
      <c r="M242" s="141">
        <v>0</v>
      </c>
      <c r="N242" s="141">
        <v>30000</v>
      </c>
      <c r="O242" s="141" t="s">
        <v>4475</v>
      </c>
      <c r="P242" s="141" t="s">
        <v>4476</v>
      </c>
    </row>
    <row r="243" spans="1:16" ht="25.5">
      <c r="A243" s="141">
        <v>76807</v>
      </c>
      <c r="B243" s="141" t="s">
        <v>4325</v>
      </c>
      <c r="C243" s="142">
        <v>41201</v>
      </c>
      <c r="D243" s="141">
        <v>445</v>
      </c>
      <c r="E243" s="141" t="str">
        <f t="shared" si="16"/>
        <v>001</v>
      </c>
      <c r="F243" s="141" t="s">
        <v>4326</v>
      </c>
      <c r="G243" s="141" t="str">
        <f>"0280"</f>
        <v>0280</v>
      </c>
      <c r="H243" s="141" t="s">
        <v>1616</v>
      </c>
      <c r="I243" s="141" t="str">
        <f t="shared" si="17"/>
        <v>999</v>
      </c>
      <c r="J243" s="141" t="s">
        <v>4327</v>
      </c>
      <c r="K243" s="141">
        <v>1319</v>
      </c>
      <c r="L243" s="141">
        <v>8</v>
      </c>
      <c r="M243" s="141">
        <v>0</v>
      </c>
      <c r="N243" s="141">
        <v>36000</v>
      </c>
      <c r="O243" s="141" t="s">
        <v>4357</v>
      </c>
      <c r="P243" s="141" t="s">
        <v>4361</v>
      </c>
    </row>
    <row r="244" spans="1:16" ht="25.5">
      <c r="A244" s="141">
        <v>76807</v>
      </c>
      <c r="B244" s="141" t="s">
        <v>4325</v>
      </c>
      <c r="C244" s="142">
        <v>41201</v>
      </c>
      <c r="D244" s="141">
        <v>445</v>
      </c>
      <c r="E244" s="141" t="str">
        <f t="shared" si="16"/>
        <v>001</v>
      </c>
      <c r="F244" s="141" t="s">
        <v>4326</v>
      </c>
      <c r="G244" s="141" t="str">
        <f>"0280"</f>
        <v>0280</v>
      </c>
      <c r="H244" s="141" t="s">
        <v>1616</v>
      </c>
      <c r="I244" s="141" t="str">
        <f t="shared" si="17"/>
        <v>999</v>
      </c>
      <c r="J244" s="141" t="s">
        <v>4327</v>
      </c>
      <c r="K244" s="141">
        <v>1320</v>
      </c>
      <c r="L244" s="141">
        <v>1</v>
      </c>
      <c r="M244" s="141">
        <v>0</v>
      </c>
      <c r="N244" s="141">
        <v>3000</v>
      </c>
      <c r="O244" s="141" t="s">
        <v>4337</v>
      </c>
      <c r="P244" s="141" t="s">
        <v>4389</v>
      </c>
    </row>
    <row r="245" spans="1:16" ht="25.5">
      <c r="A245" s="141">
        <v>76807</v>
      </c>
      <c r="B245" s="141" t="s">
        <v>4325</v>
      </c>
      <c r="C245" s="142">
        <v>41201</v>
      </c>
      <c r="D245" s="141">
        <v>445</v>
      </c>
      <c r="E245" s="141" t="str">
        <f t="shared" si="16"/>
        <v>001</v>
      </c>
      <c r="F245" s="141" t="s">
        <v>4326</v>
      </c>
      <c r="G245" s="141" t="str">
        <f>"0280"</f>
        <v>0280</v>
      </c>
      <c r="H245" s="141" t="s">
        <v>1616</v>
      </c>
      <c r="I245" s="141" t="str">
        <f t="shared" si="17"/>
        <v>999</v>
      </c>
      <c r="J245" s="141" t="s">
        <v>4327</v>
      </c>
      <c r="K245" s="141">
        <v>1321</v>
      </c>
      <c r="L245" s="141">
        <v>1</v>
      </c>
      <c r="M245" s="141">
        <v>0</v>
      </c>
      <c r="N245" s="141">
        <v>3000</v>
      </c>
      <c r="O245" s="141" t="s">
        <v>4353</v>
      </c>
      <c r="P245" s="141" t="s">
        <v>4354</v>
      </c>
    </row>
    <row r="246" spans="1:16" ht="25.5">
      <c r="A246" s="141">
        <v>76807</v>
      </c>
      <c r="B246" s="141" t="s">
        <v>4325</v>
      </c>
      <c r="C246" s="142">
        <v>41201</v>
      </c>
      <c r="D246" s="141">
        <v>446</v>
      </c>
      <c r="E246" s="141" t="str">
        <f t="shared" si="16"/>
        <v>001</v>
      </c>
      <c r="F246" s="141" t="s">
        <v>4326</v>
      </c>
      <c r="G246" s="141" t="str">
        <f>"0281"</f>
        <v>0281</v>
      </c>
      <c r="H246" s="141" t="s">
        <v>1617</v>
      </c>
      <c r="I246" s="141" t="str">
        <f t="shared" si="17"/>
        <v>999</v>
      </c>
      <c r="J246" s="141" t="s">
        <v>4327</v>
      </c>
      <c r="K246" s="141">
        <v>1322</v>
      </c>
      <c r="L246" s="141">
        <v>16</v>
      </c>
      <c r="M246" s="141">
        <v>0</v>
      </c>
      <c r="N246" s="141">
        <v>180000</v>
      </c>
      <c r="O246" s="141" t="s">
        <v>4357</v>
      </c>
      <c r="P246" s="141" t="s">
        <v>4477</v>
      </c>
    </row>
    <row r="247" spans="1:16" ht="25.5">
      <c r="A247" s="141">
        <v>76807</v>
      </c>
      <c r="B247" s="141" t="s">
        <v>4325</v>
      </c>
      <c r="C247" s="142">
        <v>41201</v>
      </c>
      <c r="D247" s="141">
        <v>446</v>
      </c>
      <c r="E247" s="141" t="str">
        <f t="shared" si="16"/>
        <v>001</v>
      </c>
      <c r="F247" s="141" t="s">
        <v>4326</v>
      </c>
      <c r="G247" s="141" t="str">
        <f>"0281"</f>
        <v>0281</v>
      </c>
      <c r="H247" s="141" t="s">
        <v>1617</v>
      </c>
      <c r="I247" s="141" t="str">
        <f t="shared" si="17"/>
        <v>999</v>
      </c>
      <c r="J247" s="141" t="s">
        <v>4327</v>
      </c>
      <c r="K247" s="141">
        <v>1323</v>
      </c>
      <c r="L247" s="141">
        <v>1</v>
      </c>
      <c r="M247" s="141">
        <v>0</v>
      </c>
      <c r="N247" s="141">
        <v>39000</v>
      </c>
      <c r="O247" s="141" t="s">
        <v>4337</v>
      </c>
      <c r="P247" s="141" t="s">
        <v>4478</v>
      </c>
    </row>
    <row r="248" spans="1:16" ht="25.5">
      <c r="A248" s="141">
        <v>76807</v>
      </c>
      <c r="B248" s="141" t="s">
        <v>4325</v>
      </c>
      <c r="C248" s="142">
        <v>41201</v>
      </c>
      <c r="D248" s="141">
        <v>446</v>
      </c>
      <c r="E248" s="141" t="str">
        <f t="shared" si="16"/>
        <v>001</v>
      </c>
      <c r="F248" s="141" t="s">
        <v>4326</v>
      </c>
      <c r="G248" s="141" t="str">
        <f>"0281"</f>
        <v>0281</v>
      </c>
      <c r="H248" s="141" t="s">
        <v>1617</v>
      </c>
      <c r="I248" s="141" t="str">
        <f t="shared" si="17"/>
        <v>999</v>
      </c>
      <c r="J248" s="141" t="s">
        <v>4327</v>
      </c>
      <c r="K248" s="141">
        <v>1324</v>
      </c>
      <c r="L248" s="141">
        <v>4</v>
      </c>
      <c r="M248" s="141">
        <v>0</v>
      </c>
      <c r="N248" s="141">
        <v>26000</v>
      </c>
      <c r="O248" s="141" t="s">
        <v>4407</v>
      </c>
      <c r="P248" s="141"/>
    </row>
    <row r="249" spans="1:16" ht="25.5">
      <c r="A249" s="141">
        <v>76807</v>
      </c>
      <c r="B249" s="141" t="s">
        <v>4325</v>
      </c>
      <c r="C249" s="142">
        <v>41201</v>
      </c>
      <c r="D249" s="141">
        <v>709</v>
      </c>
      <c r="E249" s="141" t="str">
        <f t="shared" si="16"/>
        <v>001</v>
      </c>
      <c r="F249" s="141" t="s">
        <v>4326</v>
      </c>
      <c r="G249" s="141" t="str">
        <f t="shared" ref="G249:G275" si="21">"0284"</f>
        <v>0284</v>
      </c>
      <c r="H249" s="141" t="s">
        <v>3795</v>
      </c>
      <c r="I249" s="141" t="str">
        <f t="shared" si="17"/>
        <v>999</v>
      </c>
      <c r="J249" s="141" t="s">
        <v>4327</v>
      </c>
      <c r="K249" s="141">
        <v>2002</v>
      </c>
      <c r="L249" s="141">
        <v>1</v>
      </c>
      <c r="M249" s="141">
        <v>0</v>
      </c>
      <c r="N249" s="141">
        <v>23000</v>
      </c>
      <c r="O249" s="141" t="s">
        <v>4328</v>
      </c>
      <c r="P249" s="141" t="s">
        <v>4479</v>
      </c>
    </row>
    <row r="250" spans="1:16" ht="25.5">
      <c r="A250" s="141">
        <v>76807</v>
      </c>
      <c r="B250" s="141" t="s">
        <v>4325</v>
      </c>
      <c r="C250" s="142">
        <v>41201</v>
      </c>
      <c r="D250" s="141">
        <v>709</v>
      </c>
      <c r="E250" s="141" t="str">
        <f t="shared" si="16"/>
        <v>001</v>
      </c>
      <c r="F250" s="141" t="s">
        <v>4326</v>
      </c>
      <c r="G250" s="141" t="str">
        <f t="shared" si="21"/>
        <v>0284</v>
      </c>
      <c r="H250" s="141" t="s">
        <v>3795</v>
      </c>
      <c r="I250" s="141" t="str">
        <f t="shared" si="17"/>
        <v>999</v>
      </c>
      <c r="J250" s="141" t="s">
        <v>4327</v>
      </c>
      <c r="K250" s="141">
        <v>2003</v>
      </c>
      <c r="L250" s="141">
        <v>1</v>
      </c>
      <c r="M250" s="141">
        <v>0</v>
      </c>
      <c r="N250" s="141">
        <v>116000</v>
      </c>
      <c r="O250" s="141" t="s">
        <v>4422</v>
      </c>
      <c r="P250" s="141" t="s">
        <v>4480</v>
      </c>
    </row>
    <row r="251" spans="1:16" ht="25.5">
      <c r="A251" s="141">
        <v>76807</v>
      </c>
      <c r="B251" s="141" t="s">
        <v>4325</v>
      </c>
      <c r="C251" s="142">
        <v>41201</v>
      </c>
      <c r="D251" s="141">
        <v>709</v>
      </c>
      <c r="E251" s="141" t="str">
        <f t="shared" si="16"/>
        <v>001</v>
      </c>
      <c r="F251" s="141" t="s">
        <v>4326</v>
      </c>
      <c r="G251" s="141" t="str">
        <f t="shared" si="21"/>
        <v>0284</v>
      </c>
      <c r="H251" s="141" t="s">
        <v>3795</v>
      </c>
      <c r="I251" s="141" t="str">
        <f t="shared" si="17"/>
        <v>999</v>
      </c>
      <c r="J251" s="141" t="s">
        <v>4327</v>
      </c>
      <c r="K251" s="141">
        <v>2004</v>
      </c>
      <c r="L251" s="141">
        <v>4</v>
      </c>
      <c r="M251" s="141">
        <v>0</v>
      </c>
      <c r="N251" s="141">
        <v>9000</v>
      </c>
      <c r="O251" s="141" t="s">
        <v>4339</v>
      </c>
      <c r="P251" s="141" t="s">
        <v>4385</v>
      </c>
    </row>
    <row r="252" spans="1:16" ht="25.5">
      <c r="A252" s="141">
        <v>76807</v>
      </c>
      <c r="B252" s="141" t="s">
        <v>4325</v>
      </c>
      <c r="C252" s="142">
        <v>41201</v>
      </c>
      <c r="D252" s="141">
        <v>709</v>
      </c>
      <c r="E252" s="141" t="str">
        <f t="shared" si="16"/>
        <v>001</v>
      </c>
      <c r="F252" s="141" t="s">
        <v>4326</v>
      </c>
      <c r="G252" s="141" t="str">
        <f t="shared" si="21"/>
        <v>0284</v>
      </c>
      <c r="H252" s="141" t="s">
        <v>3795</v>
      </c>
      <c r="I252" s="141" t="str">
        <f t="shared" si="17"/>
        <v>999</v>
      </c>
      <c r="J252" s="141" t="s">
        <v>4327</v>
      </c>
      <c r="K252" s="141">
        <v>2005</v>
      </c>
      <c r="L252" s="141">
        <v>5</v>
      </c>
      <c r="M252" s="141">
        <v>0</v>
      </c>
      <c r="N252" s="141">
        <v>11000</v>
      </c>
      <c r="O252" s="141" t="s">
        <v>4339</v>
      </c>
      <c r="P252" s="141" t="s">
        <v>4385</v>
      </c>
    </row>
    <row r="253" spans="1:16" ht="25.5">
      <c r="A253" s="141">
        <v>76807</v>
      </c>
      <c r="B253" s="141" t="s">
        <v>4325</v>
      </c>
      <c r="C253" s="142">
        <v>41201</v>
      </c>
      <c r="D253" s="141">
        <v>709</v>
      </c>
      <c r="E253" s="141" t="str">
        <f t="shared" si="16"/>
        <v>001</v>
      </c>
      <c r="F253" s="141" t="s">
        <v>4326</v>
      </c>
      <c r="G253" s="141" t="str">
        <f t="shared" si="21"/>
        <v>0284</v>
      </c>
      <c r="H253" s="141" t="s">
        <v>3795</v>
      </c>
      <c r="I253" s="141" t="str">
        <f t="shared" si="17"/>
        <v>999</v>
      </c>
      <c r="J253" s="141" t="s">
        <v>4327</v>
      </c>
      <c r="K253" s="141">
        <v>2006</v>
      </c>
      <c r="L253" s="141">
        <v>9</v>
      </c>
      <c r="M253" s="141">
        <v>0</v>
      </c>
      <c r="N253" s="141">
        <v>5000</v>
      </c>
      <c r="O253" s="141" t="s">
        <v>4350</v>
      </c>
      <c r="P253" s="141"/>
    </row>
    <row r="254" spans="1:16" ht="25.5">
      <c r="A254" s="141">
        <v>76807</v>
      </c>
      <c r="B254" s="141" t="s">
        <v>4325</v>
      </c>
      <c r="C254" s="142">
        <v>41201</v>
      </c>
      <c r="D254" s="141">
        <v>709</v>
      </c>
      <c r="E254" s="141" t="str">
        <f t="shared" si="16"/>
        <v>001</v>
      </c>
      <c r="F254" s="141" t="s">
        <v>4326</v>
      </c>
      <c r="G254" s="141" t="str">
        <f t="shared" si="21"/>
        <v>0284</v>
      </c>
      <c r="H254" s="141" t="s">
        <v>3795</v>
      </c>
      <c r="I254" s="141" t="str">
        <f t="shared" si="17"/>
        <v>999</v>
      </c>
      <c r="J254" s="141" t="s">
        <v>4327</v>
      </c>
      <c r="K254" s="141">
        <v>2007</v>
      </c>
      <c r="L254" s="141">
        <v>145</v>
      </c>
      <c r="M254" s="141">
        <v>0</v>
      </c>
      <c r="N254" s="141">
        <v>81000</v>
      </c>
      <c r="O254" s="141" t="s">
        <v>4350</v>
      </c>
      <c r="P254" s="141"/>
    </row>
    <row r="255" spans="1:16" ht="25.5">
      <c r="A255" s="141">
        <v>76807</v>
      </c>
      <c r="B255" s="141" t="s">
        <v>4325</v>
      </c>
      <c r="C255" s="142">
        <v>41201</v>
      </c>
      <c r="D255" s="141">
        <v>709</v>
      </c>
      <c r="E255" s="141" t="str">
        <f t="shared" si="16"/>
        <v>001</v>
      </c>
      <c r="F255" s="141" t="s">
        <v>4326</v>
      </c>
      <c r="G255" s="141" t="str">
        <f t="shared" si="21"/>
        <v>0284</v>
      </c>
      <c r="H255" s="141" t="s">
        <v>3795</v>
      </c>
      <c r="I255" s="141" t="str">
        <f t="shared" si="17"/>
        <v>999</v>
      </c>
      <c r="J255" s="141" t="s">
        <v>4327</v>
      </c>
      <c r="K255" s="141">
        <v>2008</v>
      </c>
      <c r="L255" s="141">
        <v>28</v>
      </c>
      <c r="M255" s="141">
        <v>0</v>
      </c>
      <c r="N255" s="141">
        <v>20000</v>
      </c>
      <c r="O255" s="141" t="s">
        <v>4343</v>
      </c>
      <c r="P255" s="141"/>
    </row>
    <row r="256" spans="1:16" ht="25.5">
      <c r="A256" s="141">
        <v>76807</v>
      </c>
      <c r="B256" s="141" t="s">
        <v>4325</v>
      </c>
      <c r="C256" s="142">
        <v>41201</v>
      </c>
      <c r="D256" s="141">
        <v>709</v>
      </c>
      <c r="E256" s="141" t="str">
        <f t="shared" si="16"/>
        <v>001</v>
      </c>
      <c r="F256" s="141" t="s">
        <v>4326</v>
      </c>
      <c r="G256" s="141" t="str">
        <f t="shared" si="21"/>
        <v>0284</v>
      </c>
      <c r="H256" s="141" t="s">
        <v>3795</v>
      </c>
      <c r="I256" s="141" t="str">
        <f t="shared" si="17"/>
        <v>999</v>
      </c>
      <c r="J256" s="141" t="s">
        <v>4327</v>
      </c>
      <c r="K256" s="141">
        <v>2009</v>
      </c>
      <c r="L256" s="141">
        <v>4</v>
      </c>
      <c r="M256" s="141">
        <v>0</v>
      </c>
      <c r="N256" s="141">
        <v>2000</v>
      </c>
      <c r="O256" s="141" t="s">
        <v>4381</v>
      </c>
      <c r="P256" s="141"/>
    </row>
    <row r="257" spans="1:16" ht="25.5">
      <c r="A257" s="141">
        <v>76807</v>
      </c>
      <c r="B257" s="141" t="s">
        <v>4325</v>
      </c>
      <c r="C257" s="142">
        <v>41201</v>
      </c>
      <c r="D257" s="141">
        <v>709</v>
      </c>
      <c r="E257" s="141" t="str">
        <f t="shared" si="16"/>
        <v>001</v>
      </c>
      <c r="F257" s="141" t="s">
        <v>4326</v>
      </c>
      <c r="G257" s="141" t="str">
        <f t="shared" si="21"/>
        <v>0284</v>
      </c>
      <c r="H257" s="141" t="s">
        <v>3795</v>
      </c>
      <c r="I257" s="141" t="str">
        <f t="shared" si="17"/>
        <v>999</v>
      </c>
      <c r="J257" s="141" t="s">
        <v>4327</v>
      </c>
      <c r="K257" s="141">
        <v>2010</v>
      </c>
      <c r="L257" s="141">
        <v>1</v>
      </c>
      <c r="M257" s="141">
        <v>0</v>
      </c>
      <c r="N257" s="141">
        <v>3000</v>
      </c>
      <c r="O257" s="141" t="s">
        <v>4369</v>
      </c>
      <c r="P257" s="141" t="s">
        <v>4481</v>
      </c>
    </row>
    <row r="258" spans="1:16" ht="25.5">
      <c r="A258" s="141">
        <v>76807</v>
      </c>
      <c r="B258" s="141" t="s">
        <v>4325</v>
      </c>
      <c r="C258" s="142">
        <v>41201</v>
      </c>
      <c r="D258" s="141">
        <v>709</v>
      </c>
      <c r="E258" s="141" t="str">
        <f t="shared" ref="E258:E321" si="22">"001"</f>
        <v>001</v>
      </c>
      <c r="F258" s="141" t="s">
        <v>4326</v>
      </c>
      <c r="G258" s="141" t="str">
        <f t="shared" si="21"/>
        <v>0284</v>
      </c>
      <c r="H258" s="141" t="s">
        <v>3795</v>
      </c>
      <c r="I258" s="141" t="str">
        <f t="shared" ref="I258:I321" si="23">"999"</f>
        <v>999</v>
      </c>
      <c r="J258" s="141" t="s">
        <v>4327</v>
      </c>
      <c r="K258" s="141">
        <v>2011</v>
      </c>
      <c r="L258" s="141">
        <v>1</v>
      </c>
      <c r="M258" s="141">
        <v>0</v>
      </c>
      <c r="N258" s="141">
        <v>125000</v>
      </c>
      <c r="O258" s="141" t="s">
        <v>4482</v>
      </c>
      <c r="P258" s="141" t="s">
        <v>4483</v>
      </c>
    </row>
    <row r="259" spans="1:16" ht="25.5">
      <c r="A259" s="141">
        <v>76807</v>
      </c>
      <c r="B259" s="141" t="s">
        <v>4325</v>
      </c>
      <c r="C259" s="142">
        <v>41201</v>
      </c>
      <c r="D259" s="141">
        <v>709</v>
      </c>
      <c r="E259" s="141" t="str">
        <f t="shared" si="22"/>
        <v>001</v>
      </c>
      <c r="F259" s="141" t="s">
        <v>4326</v>
      </c>
      <c r="G259" s="141" t="str">
        <f t="shared" si="21"/>
        <v>0284</v>
      </c>
      <c r="H259" s="141" t="s">
        <v>3795</v>
      </c>
      <c r="I259" s="141" t="str">
        <f t="shared" si="23"/>
        <v>999</v>
      </c>
      <c r="J259" s="141" t="s">
        <v>4327</v>
      </c>
      <c r="K259" s="141">
        <v>2012</v>
      </c>
      <c r="L259" s="141">
        <v>1</v>
      </c>
      <c r="M259" s="141">
        <v>0</v>
      </c>
      <c r="N259" s="141">
        <v>42000</v>
      </c>
      <c r="O259" s="141" t="s">
        <v>4368</v>
      </c>
      <c r="P259" s="141"/>
    </row>
    <row r="260" spans="1:16" ht="25.5">
      <c r="A260" s="141">
        <v>76807</v>
      </c>
      <c r="B260" s="141" t="s">
        <v>4325</v>
      </c>
      <c r="C260" s="142">
        <v>41201</v>
      </c>
      <c r="D260" s="141">
        <v>709</v>
      </c>
      <c r="E260" s="141" t="str">
        <f t="shared" si="22"/>
        <v>001</v>
      </c>
      <c r="F260" s="141" t="s">
        <v>4326</v>
      </c>
      <c r="G260" s="141" t="str">
        <f t="shared" si="21"/>
        <v>0284</v>
      </c>
      <c r="H260" s="141" t="s">
        <v>3795</v>
      </c>
      <c r="I260" s="141" t="str">
        <f t="shared" si="23"/>
        <v>999</v>
      </c>
      <c r="J260" s="141" t="s">
        <v>4327</v>
      </c>
      <c r="K260" s="141">
        <v>2013</v>
      </c>
      <c r="L260" s="141">
        <v>1</v>
      </c>
      <c r="M260" s="141">
        <v>0</v>
      </c>
      <c r="N260" s="141">
        <v>4000</v>
      </c>
      <c r="O260" s="141" t="s">
        <v>4330</v>
      </c>
      <c r="P260" s="141" t="s">
        <v>4348</v>
      </c>
    </row>
    <row r="261" spans="1:16" ht="25.5">
      <c r="A261" s="141">
        <v>76807</v>
      </c>
      <c r="B261" s="141" t="s">
        <v>4325</v>
      </c>
      <c r="C261" s="142">
        <v>41201</v>
      </c>
      <c r="D261" s="141">
        <v>709</v>
      </c>
      <c r="E261" s="141" t="str">
        <f t="shared" si="22"/>
        <v>001</v>
      </c>
      <c r="F261" s="141" t="s">
        <v>4326</v>
      </c>
      <c r="G261" s="141" t="str">
        <f t="shared" si="21"/>
        <v>0284</v>
      </c>
      <c r="H261" s="141" t="s">
        <v>3795</v>
      </c>
      <c r="I261" s="141" t="str">
        <f t="shared" si="23"/>
        <v>999</v>
      </c>
      <c r="J261" s="141" t="s">
        <v>4327</v>
      </c>
      <c r="K261" s="141">
        <v>2014</v>
      </c>
      <c r="L261" s="141">
        <v>1</v>
      </c>
      <c r="M261" s="141">
        <v>0</v>
      </c>
      <c r="N261" s="141">
        <v>4000</v>
      </c>
      <c r="O261" s="141" t="s">
        <v>4330</v>
      </c>
      <c r="P261" s="141" t="s">
        <v>4348</v>
      </c>
    </row>
    <row r="262" spans="1:16" ht="25.5">
      <c r="A262" s="141">
        <v>76807</v>
      </c>
      <c r="B262" s="141" t="s">
        <v>4325</v>
      </c>
      <c r="C262" s="142">
        <v>41201</v>
      </c>
      <c r="D262" s="141">
        <v>709</v>
      </c>
      <c r="E262" s="141" t="str">
        <f t="shared" si="22"/>
        <v>001</v>
      </c>
      <c r="F262" s="141" t="s">
        <v>4326</v>
      </c>
      <c r="G262" s="141" t="str">
        <f t="shared" si="21"/>
        <v>0284</v>
      </c>
      <c r="H262" s="141" t="s">
        <v>3795</v>
      </c>
      <c r="I262" s="141" t="str">
        <f t="shared" si="23"/>
        <v>999</v>
      </c>
      <c r="J262" s="141" t="s">
        <v>4327</v>
      </c>
      <c r="K262" s="141">
        <v>2015</v>
      </c>
      <c r="L262" s="141">
        <v>16</v>
      </c>
      <c r="M262" s="141">
        <v>0</v>
      </c>
      <c r="N262" s="141">
        <v>25000</v>
      </c>
      <c r="O262" s="141" t="s">
        <v>4339</v>
      </c>
      <c r="P262" s="141" t="s">
        <v>4363</v>
      </c>
    </row>
    <row r="263" spans="1:16" ht="25.5">
      <c r="A263" s="141">
        <v>76807</v>
      </c>
      <c r="B263" s="141" t="s">
        <v>4325</v>
      </c>
      <c r="C263" s="142">
        <v>41201</v>
      </c>
      <c r="D263" s="141">
        <v>709</v>
      </c>
      <c r="E263" s="141" t="str">
        <f t="shared" si="22"/>
        <v>001</v>
      </c>
      <c r="F263" s="141" t="s">
        <v>4326</v>
      </c>
      <c r="G263" s="141" t="str">
        <f t="shared" si="21"/>
        <v>0284</v>
      </c>
      <c r="H263" s="141" t="s">
        <v>3795</v>
      </c>
      <c r="I263" s="141" t="str">
        <f t="shared" si="23"/>
        <v>999</v>
      </c>
      <c r="J263" s="141" t="s">
        <v>4327</v>
      </c>
      <c r="K263" s="141">
        <v>2016</v>
      </c>
      <c r="L263" s="141">
        <v>30</v>
      </c>
      <c r="M263" s="141">
        <v>0</v>
      </c>
      <c r="N263" s="141">
        <v>68000</v>
      </c>
      <c r="O263" s="141" t="s">
        <v>4339</v>
      </c>
      <c r="P263" s="141" t="s">
        <v>4385</v>
      </c>
    </row>
    <row r="264" spans="1:16" ht="25.5">
      <c r="A264" s="141">
        <v>76807</v>
      </c>
      <c r="B264" s="141" t="s">
        <v>4325</v>
      </c>
      <c r="C264" s="142">
        <v>41201</v>
      </c>
      <c r="D264" s="141">
        <v>709</v>
      </c>
      <c r="E264" s="141" t="str">
        <f t="shared" si="22"/>
        <v>001</v>
      </c>
      <c r="F264" s="141" t="s">
        <v>4326</v>
      </c>
      <c r="G264" s="141" t="str">
        <f t="shared" si="21"/>
        <v>0284</v>
      </c>
      <c r="H264" s="141" t="s">
        <v>3795</v>
      </c>
      <c r="I264" s="141" t="str">
        <f t="shared" si="23"/>
        <v>999</v>
      </c>
      <c r="J264" s="141" t="s">
        <v>4327</v>
      </c>
      <c r="K264" s="141">
        <v>2017</v>
      </c>
      <c r="L264" s="141">
        <v>2</v>
      </c>
      <c r="M264" s="141">
        <v>0</v>
      </c>
      <c r="N264" s="141">
        <v>8000</v>
      </c>
      <c r="O264" s="141" t="s">
        <v>4339</v>
      </c>
      <c r="P264" s="141" t="s">
        <v>4362</v>
      </c>
    </row>
    <row r="265" spans="1:16" ht="25.5">
      <c r="A265" s="141">
        <v>76807</v>
      </c>
      <c r="B265" s="141" t="s">
        <v>4325</v>
      </c>
      <c r="C265" s="142">
        <v>41201</v>
      </c>
      <c r="D265" s="141">
        <v>709</v>
      </c>
      <c r="E265" s="141" t="str">
        <f t="shared" si="22"/>
        <v>001</v>
      </c>
      <c r="F265" s="141" t="s">
        <v>4326</v>
      </c>
      <c r="G265" s="141" t="str">
        <f t="shared" si="21"/>
        <v>0284</v>
      </c>
      <c r="H265" s="141" t="s">
        <v>3795</v>
      </c>
      <c r="I265" s="141" t="str">
        <f t="shared" si="23"/>
        <v>999</v>
      </c>
      <c r="J265" s="141" t="s">
        <v>4327</v>
      </c>
      <c r="K265" s="141">
        <v>2018</v>
      </c>
      <c r="L265" s="141">
        <v>10</v>
      </c>
      <c r="M265" s="141">
        <v>0</v>
      </c>
      <c r="N265" s="141">
        <v>16000</v>
      </c>
      <c r="O265" s="141" t="s">
        <v>4339</v>
      </c>
      <c r="P265" s="141" t="s">
        <v>4363</v>
      </c>
    </row>
    <row r="266" spans="1:16" ht="25.5">
      <c r="A266" s="141">
        <v>76807</v>
      </c>
      <c r="B266" s="141" t="s">
        <v>4325</v>
      </c>
      <c r="C266" s="142">
        <v>41201</v>
      </c>
      <c r="D266" s="141">
        <v>709</v>
      </c>
      <c r="E266" s="141" t="str">
        <f t="shared" si="22"/>
        <v>001</v>
      </c>
      <c r="F266" s="141" t="s">
        <v>4326</v>
      </c>
      <c r="G266" s="141" t="str">
        <f t="shared" si="21"/>
        <v>0284</v>
      </c>
      <c r="H266" s="141" t="s">
        <v>3795</v>
      </c>
      <c r="I266" s="141" t="str">
        <f t="shared" si="23"/>
        <v>999</v>
      </c>
      <c r="J266" s="141" t="s">
        <v>4327</v>
      </c>
      <c r="K266" s="141">
        <v>2019</v>
      </c>
      <c r="L266" s="141">
        <v>8</v>
      </c>
      <c r="M266" s="141">
        <v>0</v>
      </c>
      <c r="N266" s="141">
        <v>27000</v>
      </c>
      <c r="O266" s="141" t="s">
        <v>4339</v>
      </c>
      <c r="P266" s="141" t="s">
        <v>4361</v>
      </c>
    </row>
    <row r="267" spans="1:16" ht="25.5">
      <c r="A267" s="141">
        <v>76807</v>
      </c>
      <c r="B267" s="141" t="s">
        <v>4325</v>
      </c>
      <c r="C267" s="142">
        <v>41201</v>
      </c>
      <c r="D267" s="141">
        <v>709</v>
      </c>
      <c r="E267" s="141" t="str">
        <f t="shared" si="22"/>
        <v>001</v>
      </c>
      <c r="F267" s="141" t="s">
        <v>4326</v>
      </c>
      <c r="G267" s="141" t="str">
        <f t="shared" si="21"/>
        <v>0284</v>
      </c>
      <c r="H267" s="141" t="s">
        <v>3795</v>
      </c>
      <c r="I267" s="141" t="str">
        <f t="shared" si="23"/>
        <v>999</v>
      </c>
      <c r="J267" s="141" t="s">
        <v>4327</v>
      </c>
      <c r="K267" s="141">
        <v>2020</v>
      </c>
      <c r="L267" s="141">
        <v>8</v>
      </c>
      <c r="M267" s="141">
        <v>0</v>
      </c>
      <c r="N267" s="141">
        <v>14000</v>
      </c>
      <c r="O267" s="141" t="s">
        <v>4484</v>
      </c>
      <c r="P267" s="141"/>
    </row>
    <row r="268" spans="1:16" ht="25.5">
      <c r="A268" s="141">
        <v>76807</v>
      </c>
      <c r="B268" s="141" t="s">
        <v>4325</v>
      </c>
      <c r="C268" s="142">
        <v>41201</v>
      </c>
      <c r="D268" s="141">
        <v>709</v>
      </c>
      <c r="E268" s="141" t="str">
        <f t="shared" si="22"/>
        <v>001</v>
      </c>
      <c r="F268" s="141" t="s">
        <v>4326</v>
      </c>
      <c r="G268" s="141" t="str">
        <f t="shared" si="21"/>
        <v>0284</v>
      </c>
      <c r="H268" s="141" t="s">
        <v>3795</v>
      </c>
      <c r="I268" s="141" t="str">
        <f t="shared" si="23"/>
        <v>999</v>
      </c>
      <c r="J268" s="141" t="s">
        <v>4327</v>
      </c>
      <c r="K268" s="141">
        <v>2021</v>
      </c>
      <c r="L268" s="141">
        <v>1</v>
      </c>
      <c r="M268" s="141">
        <v>0</v>
      </c>
      <c r="N268" s="141">
        <v>47000</v>
      </c>
      <c r="O268" s="141" t="s">
        <v>4353</v>
      </c>
      <c r="P268" s="141" t="s">
        <v>4485</v>
      </c>
    </row>
    <row r="269" spans="1:16" ht="25.5">
      <c r="A269" s="141">
        <v>76807</v>
      </c>
      <c r="B269" s="141" t="s">
        <v>4325</v>
      </c>
      <c r="C269" s="142">
        <v>41201</v>
      </c>
      <c r="D269" s="141">
        <v>709</v>
      </c>
      <c r="E269" s="141" t="str">
        <f t="shared" si="22"/>
        <v>001</v>
      </c>
      <c r="F269" s="141" t="s">
        <v>4326</v>
      </c>
      <c r="G269" s="141" t="str">
        <f t="shared" si="21"/>
        <v>0284</v>
      </c>
      <c r="H269" s="141" t="s">
        <v>3795</v>
      </c>
      <c r="I269" s="141" t="str">
        <f t="shared" si="23"/>
        <v>999</v>
      </c>
      <c r="J269" s="141" t="s">
        <v>4327</v>
      </c>
      <c r="K269" s="141">
        <v>2022</v>
      </c>
      <c r="L269" s="141">
        <v>1</v>
      </c>
      <c r="M269" s="141">
        <v>0</v>
      </c>
      <c r="N269" s="141">
        <v>88000</v>
      </c>
      <c r="O269" s="141" t="s">
        <v>4353</v>
      </c>
      <c r="P269" s="141" t="s">
        <v>4486</v>
      </c>
    </row>
    <row r="270" spans="1:16" ht="25.5">
      <c r="A270" s="141">
        <v>76807</v>
      </c>
      <c r="B270" s="141" t="s">
        <v>4325</v>
      </c>
      <c r="C270" s="142">
        <v>41201</v>
      </c>
      <c r="D270" s="141">
        <v>709</v>
      </c>
      <c r="E270" s="141" t="str">
        <f t="shared" si="22"/>
        <v>001</v>
      </c>
      <c r="F270" s="141" t="s">
        <v>4326</v>
      </c>
      <c r="G270" s="141" t="str">
        <f t="shared" si="21"/>
        <v>0284</v>
      </c>
      <c r="H270" s="141" t="s">
        <v>3795</v>
      </c>
      <c r="I270" s="141" t="str">
        <f t="shared" si="23"/>
        <v>999</v>
      </c>
      <c r="J270" s="141" t="s">
        <v>4327</v>
      </c>
      <c r="K270" s="141">
        <v>2023</v>
      </c>
      <c r="L270" s="141">
        <v>1</v>
      </c>
      <c r="M270" s="141">
        <v>0</v>
      </c>
      <c r="N270" s="141">
        <v>134000</v>
      </c>
      <c r="O270" s="141" t="s">
        <v>4399</v>
      </c>
      <c r="P270" s="141" t="s">
        <v>4487</v>
      </c>
    </row>
    <row r="271" spans="1:16" ht="25.5">
      <c r="A271" s="141">
        <v>76807</v>
      </c>
      <c r="B271" s="141" t="s">
        <v>4325</v>
      </c>
      <c r="C271" s="142">
        <v>41201</v>
      </c>
      <c r="D271" s="141">
        <v>709</v>
      </c>
      <c r="E271" s="141" t="str">
        <f t="shared" si="22"/>
        <v>001</v>
      </c>
      <c r="F271" s="141" t="s">
        <v>4326</v>
      </c>
      <c r="G271" s="141" t="str">
        <f t="shared" si="21"/>
        <v>0284</v>
      </c>
      <c r="H271" s="141" t="s">
        <v>3795</v>
      </c>
      <c r="I271" s="141" t="str">
        <f t="shared" si="23"/>
        <v>999</v>
      </c>
      <c r="J271" s="141" t="s">
        <v>4327</v>
      </c>
      <c r="K271" s="141">
        <v>2024</v>
      </c>
      <c r="L271" s="141">
        <v>5</v>
      </c>
      <c r="M271" s="141">
        <v>0</v>
      </c>
      <c r="N271" s="141">
        <v>128000</v>
      </c>
      <c r="O271" s="141" t="s">
        <v>4488</v>
      </c>
      <c r="P271" s="141"/>
    </row>
    <row r="272" spans="1:16" ht="25.5">
      <c r="A272" s="141">
        <v>76807</v>
      </c>
      <c r="B272" s="141" t="s">
        <v>4325</v>
      </c>
      <c r="C272" s="142">
        <v>41201</v>
      </c>
      <c r="D272" s="141">
        <v>709</v>
      </c>
      <c r="E272" s="141" t="str">
        <f t="shared" si="22"/>
        <v>001</v>
      </c>
      <c r="F272" s="141" t="s">
        <v>4326</v>
      </c>
      <c r="G272" s="141" t="str">
        <f t="shared" si="21"/>
        <v>0284</v>
      </c>
      <c r="H272" s="141" t="s">
        <v>3795</v>
      </c>
      <c r="I272" s="141" t="str">
        <f t="shared" si="23"/>
        <v>999</v>
      </c>
      <c r="J272" s="141" t="s">
        <v>4327</v>
      </c>
      <c r="K272" s="141">
        <v>2025</v>
      </c>
      <c r="L272" s="141">
        <v>1</v>
      </c>
      <c r="M272" s="141">
        <v>0</v>
      </c>
      <c r="N272" s="141">
        <v>685000</v>
      </c>
      <c r="O272" s="141" t="s">
        <v>4489</v>
      </c>
      <c r="P272" s="141"/>
    </row>
    <row r="273" spans="1:16" ht="25.5">
      <c r="A273" s="141">
        <v>76807</v>
      </c>
      <c r="B273" s="141" t="s">
        <v>4325</v>
      </c>
      <c r="C273" s="142">
        <v>41201</v>
      </c>
      <c r="D273" s="141">
        <v>709</v>
      </c>
      <c r="E273" s="141" t="str">
        <f t="shared" si="22"/>
        <v>001</v>
      </c>
      <c r="F273" s="141" t="s">
        <v>4326</v>
      </c>
      <c r="G273" s="141" t="str">
        <f t="shared" si="21"/>
        <v>0284</v>
      </c>
      <c r="H273" s="141" t="s">
        <v>3795</v>
      </c>
      <c r="I273" s="141" t="str">
        <f t="shared" si="23"/>
        <v>999</v>
      </c>
      <c r="J273" s="141" t="s">
        <v>4327</v>
      </c>
      <c r="K273" s="141">
        <v>2026</v>
      </c>
      <c r="L273" s="141">
        <v>1</v>
      </c>
      <c r="M273" s="141">
        <v>0</v>
      </c>
      <c r="N273" s="141">
        <v>528000</v>
      </c>
      <c r="O273" s="141" t="s">
        <v>4490</v>
      </c>
      <c r="P273" s="141"/>
    </row>
    <row r="274" spans="1:16" ht="25.5">
      <c r="A274" s="141">
        <v>76807</v>
      </c>
      <c r="B274" s="141" t="s">
        <v>4325</v>
      </c>
      <c r="C274" s="142">
        <v>41201</v>
      </c>
      <c r="D274" s="141">
        <v>709</v>
      </c>
      <c r="E274" s="141" t="str">
        <f t="shared" si="22"/>
        <v>001</v>
      </c>
      <c r="F274" s="141" t="s">
        <v>4326</v>
      </c>
      <c r="G274" s="141" t="str">
        <f t="shared" si="21"/>
        <v>0284</v>
      </c>
      <c r="H274" s="141" t="s">
        <v>3795</v>
      </c>
      <c r="I274" s="141" t="str">
        <f t="shared" si="23"/>
        <v>999</v>
      </c>
      <c r="J274" s="141" t="s">
        <v>4327</v>
      </c>
      <c r="K274" s="141">
        <v>2027</v>
      </c>
      <c r="L274" s="141">
        <v>1</v>
      </c>
      <c r="M274" s="141">
        <v>0</v>
      </c>
      <c r="N274" s="141">
        <v>306000</v>
      </c>
      <c r="O274" s="141" t="s">
        <v>4491</v>
      </c>
      <c r="P274" s="141"/>
    </row>
    <row r="275" spans="1:16" ht="25.5">
      <c r="A275" s="141">
        <v>76807</v>
      </c>
      <c r="B275" s="141" t="s">
        <v>4325</v>
      </c>
      <c r="C275" s="142">
        <v>41201</v>
      </c>
      <c r="D275" s="141">
        <v>709</v>
      </c>
      <c r="E275" s="141" t="str">
        <f t="shared" si="22"/>
        <v>001</v>
      </c>
      <c r="F275" s="141" t="s">
        <v>4326</v>
      </c>
      <c r="G275" s="141" t="str">
        <f t="shared" si="21"/>
        <v>0284</v>
      </c>
      <c r="H275" s="141" t="s">
        <v>3795</v>
      </c>
      <c r="I275" s="141" t="str">
        <f t="shared" si="23"/>
        <v>999</v>
      </c>
      <c r="J275" s="141" t="s">
        <v>4327</v>
      </c>
      <c r="K275" s="141">
        <v>2028</v>
      </c>
      <c r="L275" s="141">
        <v>1</v>
      </c>
      <c r="M275" s="141">
        <v>0</v>
      </c>
      <c r="N275" s="141">
        <v>1065000</v>
      </c>
      <c r="O275" s="141" t="s">
        <v>4492</v>
      </c>
      <c r="P275" s="141"/>
    </row>
    <row r="276" spans="1:16" ht="25.5">
      <c r="A276" s="141">
        <v>76807</v>
      </c>
      <c r="B276" s="141" t="s">
        <v>4325</v>
      </c>
      <c r="C276" s="142">
        <v>41201</v>
      </c>
      <c r="D276" s="141">
        <v>1183</v>
      </c>
      <c r="E276" s="141" t="str">
        <f t="shared" si="22"/>
        <v>001</v>
      </c>
      <c r="F276" s="141" t="s">
        <v>4326</v>
      </c>
      <c r="G276" s="141" t="str">
        <f t="shared" ref="G276:G321" si="24">"0285"</f>
        <v>0285</v>
      </c>
      <c r="H276" s="141" t="s">
        <v>4493</v>
      </c>
      <c r="I276" s="141" t="str">
        <f t="shared" si="23"/>
        <v>999</v>
      </c>
      <c r="J276" s="141" t="s">
        <v>4327</v>
      </c>
      <c r="K276" s="141">
        <v>3223</v>
      </c>
      <c r="L276" s="141">
        <v>8</v>
      </c>
      <c r="M276" s="141">
        <v>0</v>
      </c>
      <c r="N276" s="141">
        <v>55000</v>
      </c>
      <c r="O276" s="141" t="s">
        <v>4357</v>
      </c>
      <c r="P276" s="141" t="s">
        <v>4494</v>
      </c>
    </row>
    <row r="277" spans="1:16" ht="25.5">
      <c r="A277" s="141">
        <v>76807</v>
      </c>
      <c r="B277" s="141" t="s">
        <v>4325</v>
      </c>
      <c r="C277" s="142">
        <v>41201</v>
      </c>
      <c r="D277" s="141">
        <v>1183</v>
      </c>
      <c r="E277" s="141" t="str">
        <f t="shared" si="22"/>
        <v>001</v>
      </c>
      <c r="F277" s="141" t="s">
        <v>4326</v>
      </c>
      <c r="G277" s="141" t="str">
        <f t="shared" si="24"/>
        <v>0285</v>
      </c>
      <c r="H277" s="141" t="s">
        <v>4493</v>
      </c>
      <c r="I277" s="141" t="str">
        <f t="shared" si="23"/>
        <v>999</v>
      </c>
      <c r="J277" s="141" t="s">
        <v>4327</v>
      </c>
      <c r="K277" s="141">
        <v>3224</v>
      </c>
      <c r="L277" s="141">
        <v>2</v>
      </c>
      <c r="M277" s="141">
        <v>0</v>
      </c>
      <c r="N277" s="141">
        <v>16000</v>
      </c>
      <c r="O277" s="141" t="s">
        <v>4357</v>
      </c>
      <c r="P277" s="141" t="s">
        <v>4419</v>
      </c>
    </row>
    <row r="278" spans="1:16" ht="25.5">
      <c r="A278" s="141">
        <v>76807</v>
      </c>
      <c r="B278" s="141" t="s">
        <v>4325</v>
      </c>
      <c r="C278" s="142">
        <v>41201</v>
      </c>
      <c r="D278" s="141">
        <v>1183</v>
      </c>
      <c r="E278" s="141" t="str">
        <f t="shared" si="22"/>
        <v>001</v>
      </c>
      <c r="F278" s="141" t="s">
        <v>4326</v>
      </c>
      <c r="G278" s="141" t="str">
        <f t="shared" si="24"/>
        <v>0285</v>
      </c>
      <c r="H278" s="141" t="s">
        <v>4493</v>
      </c>
      <c r="I278" s="141" t="str">
        <f t="shared" si="23"/>
        <v>999</v>
      </c>
      <c r="J278" s="141" t="s">
        <v>4327</v>
      </c>
      <c r="K278" s="141">
        <v>3225</v>
      </c>
      <c r="L278" s="141">
        <v>2</v>
      </c>
      <c r="M278" s="141">
        <v>0</v>
      </c>
      <c r="N278" s="141">
        <v>19000</v>
      </c>
      <c r="O278" s="141" t="s">
        <v>4357</v>
      </c>
      <c r="P278" s="141" t="s">
        <v>4495</v>
      </c>
    </row>
    <row r="279" spans="1:16" ht="25.5">
      <c r="A279" s="141">
        <v>76807</v>
      </c>
      <c r="B279" s="141" t="s">
        <v>4325</v>
      </c>
      <c r="C279" s="142">
        <v>41201</v>
      </c>
      <c r="D279" s="141">
        <v>1183</v>
      </c>
      <c r="E279" s="141" t="str">
        <f t="shared" si="22"/>
        <v>001</v>
      </c>
      <c r="F279" s="141" t="s">
        <v>4326</v>
      </c>
      <c r="G279" s="141" t="str">
        <f t="shared" si="24"/>
        <v>0285</v>
      </c>
      <c r="H279" s="141" t="s">
        <v>4493</v>
      </c>
      <c r="I279" s="141" t="str">
        <f t="shared" si="23"/>
        <v>999</v>
      </c>
      <c r="J279" s="141" t="s">
        <v>4327</v>
      </c>
      <c r="K279" s="141">
        <v>3226</v>
      </c>
      <c r="L279" s="141">
        <v>12</v>
      </c>
      <c r="M279" s="141">
        <v>0</v>
      </c>
      <c r="N279" s="141">
        <v>148000</v>
      </c>
      <c r="O279" s="141" t="s">
        <v>4357</v>
      </c>
      <c r="P279" s="141" t="s">
        <v>4496</v>
      </c>
    </row>
    <row r="280" spans="1:16" ht="25.5">
      <c r="A280" s="141">
        <v>76807</v>
      </c>
      <c r="B280" s="141" t="s">
        <v>4325</v>
      </c>
      <c r="C280" s="142">
        <v>41201</v>
      </c>
      <c r="D280" s="141">
        <v>1183</v>
      </c>
      <c r="E280" s="141" t="str">
        <f t="shared" si="22"/>
        <v>001</v>
      </c>
      <c r="F280" s="141" t="s">
        <v>4326</v>
      </c>
      <c r="G280" s="141" t="str">
        <f t="shared" si="24"/>
        <v>0285</v>
      </c>
      <c r="H280" s="141" t="s">
        <v>4493</v>
      </c>
      <c r="I280" s="141" t="str">
        <f t="shared" si="23"/>
        <v>999</v>
      </c>
      <c r="J280" s="141" t="s">
        <v>4327</v>
      </c>
      <c r="K280" s="141">
        <v>3227</v>
      </c>
      <c r="L280" s="141">
        <v>2</v>
      </c>
      <c r="M280" s="141">
        <v>0</v>
      </c>
      <c r="N280" s="141">
        <v>58000</v>
      </c>
      <c r="O280" s="141" t="s">
        <v>4357</v>
      </c>
      <c r="P280" s="141" t="s">
        <v>4497</v>
      </c>
    </row>
    <row r="281" spans="1:16" ht="25.5">
      <c r="A281" s="141">
        <v>76807</v>
      </c>
      <c r="B281" s="141" t="s">
        <v>4325</v>
      </c>
      <c r="C281" s="142">
        <v>41201</v>
      </c>
      <c r="D281" s="141">
        <v>1183</v>
      </c>
      <c r="E281" s="141" t="str">
        <f t="shared" si="22"/>
        <v>001</v>
      </c>
      <c r="F281" s="141" t="s">
        <v>4326</v>
      </c>
      <c r="G281" s="141" t="str">
        <f t="shared" si="24"/>
        <v>0285</v>
      </c>
      <c r="H281" s="141" t="s">
        <v>4493</v>
      </c>
      <c r="I281" s="141" t="str">
        <f t="shared" si="23"/>
        <v>999</v>
      </c>
      <c r="J281" s="141" t="s">
        <v>4327</v>
      </c>
      <c r="K281" s="141">
        <v>3228</v>
      </c>
      <c r="L281" s="141">
        <v>4</v>
      </c>
      <c r="M281" s="141">
        <v>0</v>
      </c>
      <c r="N281" s="141">
        <v>26000</v>
      </c>
      <c r="O281" s="141" t="s">
        <v>4407</v>
      </c>
      <c r="P281" s="141"/>
    </row>
    <row r="282" spans="1:16" ht="25.5">
      <c r="A282" s="141">
        <v>76807</v>
      </c>
      <c r="B282" s="141" t="s">
        <v>4325</v>
      </c>
      <c r="C282" s="142">
        <v>41201</v>
      </c>
      <c r="D282" s="141">
        <v>1183</v>
      </c>
      <c r="E282" s="141" t="str">
        <f t="shared" si="22"/>
        <v>001</v>
      </c>
      <c r="F282" s="141" t="s">
        <v>4326</v>
      </c>
      <c r="G282" s="141" t="str">
        <f t="shared" si="24"/>
        <v>0285</v>
      </c>
      <c r="H282" s="141" t="s">
        <v>4493</v>
      </c>
      <c r="I282" s="141" t="str">
        <f t="shared" si="23"/>
        <v>999</v>
      </c>
      <c r="J282" s="141" t="s">
        <v>4327</v>
      </c>
      <c r="K282" s="141">
        <v>3229</v>
      </c>
      <c r="L282" s="141">
        <v>1</v>
      </c>
      <c r="M282" s="141">
        <v>0</v>
      </c>
      <c r="N282" s="141">
        <v>15000</v>
      </c>
      <c r="O282" s="141" t="s">
        <v>4357</v>
      </c>
      <c r="P282" s="141" t="s">
        <v>4498</v>
      </c>
    </row>
    <row r="283" spans="1:16" ht="25.5">
      <c r="A283" s="141">
        <v>76807</v>
      </c>
      <c r="B283" s="141" t="s">
        <v>4325</v>
      </c>
      <c r="C283" s="142">
        <v>41201</v>
      </c>
      <c r="D283" s="141">
        <v>1183</v>
      </c>
      <c r="E283" s="141" t="str">
        <f t="shared" si="22"/>
        <v>001</v>
      </c>
      <c r="F283" s="141" t="s">
        <v>4326</v>
      </c>
      <c r="G283" s="141" t="str">
        <f t="shared" si="24"/>
        <v>0285</v>
      </c>
      <c r="H283" s="141" t="s">
        <v>4493</v>
      </c>
      <c r="I283" s="141" t="str">
        <f t="shared" si="23"/>
        <v>999</v>
      </c>
      <c r="J283" s="141" t="s">
        <v>4327</v>
      </c>
      <c r="K283" s="141">
        <v>3230</v>
      </c>
      <c r="L283" s="141">
        <v>1</v>
      </c>
      <c r="M283" s="141">
        <v>0</v>
      </c>
      <c r="N283" s="141">
        <v>12000</v>
      </c>
      <c r="O283" s="141" t="s">
        <v>4357</v>
      </c>
      <c r="P283" s="141" t="s">
        <v>4496</v>
      </c>
    </row>
    <row r="284" spans="1:16" ht="25.5">
      <c r="A284" s="141">
        <v>76807</v>
      </c>
      <c r="B284" s="141" t="s">
        <v>4325</v>
      </c>
      <c r="C284" s="142">
        <v>41201</v>
      </c>
      <c r="D284" s="141">
        <v>1183</v>
      </c>
      <c r="E284" s="141" t="str">
        <f t="shared" si="22"/>
        <v>001</v>
      </c>
      <c r="F284" s="141" t="s">
        <v>4326</v>
      </c>
      <c r="G284" s="141" t="str">
        <f t="shared" si="24"/>
        <v>0285</v>
      </c>
      <c r="H284" s="141" t="s">
        <v>4493</v>
      </c>
      <c r="I284" s="141" t="str">
        <f t="shared" si="23"/>
        <v>999</v>
      </c>
      <c r="J284" s="141" t="s">
        <v>4327</v>
      </c>
      <c r="K284" s="141">
        <v>3231</v>
      </c>
      <c r="L284" s="141">
        <v>1</v>
      </c>
      <c r="M284" s="141">
        <v>0</v>
      </c>
      <c r="N284" s="141">
        <v>52000</v>
      </c>
      <c r="O284" s="141" t="s">
        <v>4328</v>
      </c>
      <c r="P284" s="141" t="s">
        <v>4499</v>
      </c>
    </row>
    <row r="285" spans="1:16" ht="25.5">
      <c r="A285" s="141">
        <v>76807</v>
      </c>
      <c r="B285" s="141" t="s">
        <v>4325</v>
      </c>
      <c r="C285" s="142">
        <v>41201</v>
      </c>
      <c r="D285" s="141">
        <v>1183</v>
      </c>
      <c r="E285" s="141" t="str">
        <f t="shared" si="22"/>
        <v>001</v>
      </c>
      <c r="F285" s="141" t="s">
        <v>4326</v>
      </c>
      <c r="G285" s="141" t="str">
        <f t="shared" si="24"/>
        <v>0285</v>
      </c>
      <c r="H285" s="141" t="s">
        <v>4493</v>
      </c>
      <c r="I285" s="141" t="str">
        <f t="shared" si="23"/>
        <v>999</v>
      </c>
      <c r="J285" s="141" t="s">
        <v>4327</v>
      </c>
      <c r="K285" s="141">
        <v>3232</v>
      </c>
      <c r="L285" s="141">
        <v>8</v>
      </c>
      <c r="M285" s="141">
        <v>0</v>
      </c>
      <c r="N285" s="141">
        <v>50000</v>
      </c>
      <c r="O285" s="141" t="s">
        <v>4500</v>
      </c>
      <c r="P285" s="141"/>
    </row>
    <row r="286" spans="1:16" ht="25.5">
      <c r="A286" s="141">
        <v>76807</v>
      </c>
      <c r="B286" s="141" t="s">
        <v>4325</v>
      </c>
      <c r="C286" s="142">
        <v>41201</v>
      </c>
      <c r="D286" s="141">
        <v>1183</v>
      </c>
      <c r="E286" s="141" t="str">
        <f t="shared" si="22"/>
        <v>001</v>
      </c>
      <c r="F286" s="141" t="s">
        <v>4326</v>
      </c>
      <c r="G286" s="141" t="str">
        <f t="shared" si="24"/>
        <v>0285</v>
      </c>
      <c r="H286" s="141" t="s">
        <v>4493</v>
      </c>
      <c r="I286" s="141" t="str">
        <f t="shared" si="23"/>
        <v>999</v>
      </c>
      <c r="J286" s="141" t="s">
        <v>4327</v>
      </c>
      <c r="K286" s="141">
        <v>3233</v>
      </c>
      <c r="L286" s="141">
        <v>1</v>
      </c>
      <c r="M286" s="141">
        <v>0</v>
      </c>
      <c r="N286" s="141">
        <v>3000</v>
      </c>
      <c r="O286" s="141" t="s">
        <v>4405</v>
      </c>
      <c r="P286" s="141" t="s">
        <v>4501</v>
      </c>
    </row>
    <row r="287" spans="1:16" ht="25.5">
      <c r="A287" s="141">
        <v>76807</v>
      </c>
      <c r="B287" s="141" t="s">
        <v>4325</v>
      </c>
      <c r="C287" s="142">
        <v>41201</v>
      </c>
      <c r="D287" s="141">
        <v>1183</v>
      </c>
      <c r="E287" s="141" t="str">
        <f t="shared" si="22"/>
        <v>001</v>
      </c>
      <c r="F287" s="141" t="s">
        <v>4326</v>
      </c>
      <c r="G287" s="141" t="str">
        <f t="shared" si="24"/>
        <v>0285</v>
      </c>
      <c r="H287" s="141" t="s">
        <v>4493</v>
      </c>
      <c r="I287" s="141" t="str">
        <f t="shared" si="23"/>
        <v>999</v>
      </c>
      <c r="J287" s="141" t="s">
        <v>4327</v>
      </c>
      <c r="K287" s="141">
        <v>3234</v>
      </c>
      <c r="L287" s="141">
        <v>1</v>
      </c>
      <c r="M287" s="141">
        <v>0</v>
      </c>
      <c r="N287" s="141">
        <v>3000</v>
      </c>
      <c r="O287" s="141" t="s">
        <v>4405</v>
      </c>
      <c r="P287" s="141" t="s">
        <v>4501</v>
      </c>
    </row>
    <row r="288" spans="1:16" ht="25.5">
      <c r="A288" s="141">
        <v>76807</v>
      </c>
      <c r="B288" s="141" t="s">
        <v>4325</v>
      </c>
      <c r="C288" s="142">
        <v>41201</v>
      </c>
      <c r="D288" s="141">
        <v>1183</v>
      </c>
      <c r="E288" s="141" t="str">
        <f t="shared" si="22"/>
        <v>001</v>
      </c>
      <c r="F288" s="141" t="s">
        <v>4326</v>
      </c>
      <c r="G288" s="141" t="str">
        <f t="shared" si="24"/>
        <v>0285</v>
      </c>
      <c r="H288" s="141" t="s">
        <v>4493</v>
      </c>
      <c r="I288" s="141" t="str">
        <f t="shared" si="23"/>
        <v>999</v>
      </c>
      <c r="J288" s="141" t="s">
        <v>4327</v>
      </c>
      <c r="K288" s="141">
        <v>3235</v>
      </c>
      <c r="L288" s="141">
        <v>1</v>
      </c>
      <c r="M288" s="141">
        <v>0</v>
      </c>
      <c r="N288" s="141">
        <v>3000</v>
      </c>
      <c r="O288" s="141" t="s">
        <v>4405</v>
      </c>
      <c r="P288" s="141" t="s">
        <v>4501</v>
      </c>
    </row>
    <row r="289" spans="1:16" ht="25.5">
      <c r="A289" s="141">
        <v>76807</v>
      </c>
      <c r="B289" s="141" t="s">
        <v>4325</v>
      </c>
      <c r="C289" s="142">
        <v>41201</v>
      </c>
      <c r="D289" s="141">
        <v>1183</v>
      </c>
      <c r="E289" s="141" t="str">
        <f t="shared" si="22"/>
        <v>001</v>
      </c>
      <c r="F289" s="141" t="s">
        <v>4326</v>
      </c>
      <c r="G289" s="141" t="str">
        <f t="shared" si="24"/>
        <v>0285</v>
      </c>
      <c r="H289" s="141" t="s">
        <v>4493</v>
      </c>
      <c r="I289" s="141" t="str">
        <f t="shared" si="23"/>
        <v>999</v>
      </c>
      <c r="J289" s="141" t="s">
        <v>4327</v>
      </c>
      <c r="K289" s="141">
        <v>3236</v>
      </c>
      <c r="L289" s="141">
        <v>1</v>
      </c>
      <c r="M289" s="141">
        <v>0</v>
      </c>
      <c r="N289" s="141">
        <v>3000</v>
      </c>
      <c r="O289" s="141" t="s">
        <v>4405</v>
      </c>
      <c r="P289" s="141" t="s">
        <v>4501</v>
      </c>
    </row>
    <row r="290" spans="1:16" ht="25.5">
      <c r="A290" s="141">
        <v>76807</v>
      </c>
      <c r="B290" s="141" t="s">
        <v>4325</v>
      </c>
      <c r="C290" s="142">
        <v>41201</v>
      </c>
      <c r="D290" s="141">
        <v>1183</v>
      </c>
      <c r="E290" s="141" t="str">
        <f t="shared" si="22"/>
        <v>001</v>
      </c>
      <c r="F290" s="141" t="s">
        <v>4326</v>
      </c>
      <c r="G290" s="141" t="str">
        <f t="shared" si="24"/>
        <v>0285</v>
      </c>
      <c r="H290" s="141" t="s">
        <v>4493</v>
      </c>
      <c r="I290" s="141" t="str">
        <f t="shared" si="23"/>
        <v>999</v>
      </c>
      <c r="J290" s="141" t="s">
        <v>4327</v>
      </c>
      <c r="K290" s="141">
        <v>3237</v>
      </c>
      <c r="L290" s="141">
        <v>1</v>
      </c>
      <c r="M290" s="141">
        <v>0</v>
      </c>
      <c r="N290" s="141">
        <v>3000</v>
      </c>
      <c r="O290" s="141" t="s">
        <v>4405</v>
      </c>
      <c r="P290" s="141" t="s">
        <v>4501</v>
      </c>
    </row>
    <row r="291" spans="1:16" ht="25.5">
      <c r="A291" s="141">
        <v>76807</v>
      </c>
      <c r="B291" s="141" t="s">
        <v>4325</v>
      </c>
      <c r="C291" s="142">
        <v>41201</v>
      </c>
      <c r="D291" s="141">
        <v>1183</v>
      </c>
      <c r="E291" s="141" t="str">
        <f t="shared" si="22"/>
        <v>001</v>
      </c>
      <c r="F291" s="141" t="s">
        <v>4326</v>
      </c>
      <c r="G291" s="141" t="str">
        <f t="shared" si="24"/>
        <v>0285</v>
      </c>
      <c r="H291" s="141" t="s">
        <v>4493</v>
      </c>
      <c r="I291" s="141" t="str">
        <f t="shared" si="23"/>
        <v>999</v>
      </c>
      <c r="J291" s="141" t="s">
        <v>4327</v>
      </c>
      <c r="K291" s="141">
        <v>3238</v>
      </c>
      <c r="L291" s="141">
        <v>1</v>
      </c>
      <c r="M291" s="141">
        <v>0</v>
      </c>
      <c r="N291" s="141">
        <v>3000</v>
      </c>
      <c r="O291" s="141" t="s">
        <v>4405</v>
      </c>
      <c r="P291" s="141" t="s">
        <v>4501</v>
      </c>
    </row>
    <row r="292" spans="1:16" ht="25.5">
      <c r="A292" s="141">
        <v>76807</v>
      </c>
      <c r="B292" s="141" t="s">
        <v>4325</v>
      </c>
      <c r="C292" s="142">
        <v>41201</v>
      </c>
      <c r="D292" s="141">
        <v>1183</v>
      </c>
      <c r="E292" s="141" t="str">
        <f t="shared" si="22"/>
        <v>001</v>
      </c>
      <c r="F292" s="141" t="s">
        <v>4326</v>
      </c>
      <c r="G292" s="141" t="str">
        <f t="shared" si="24"/>
        <v>0285</v>
      </c>
      <c r="H292" s="141" t="s">
        <v>4493</v>
      </c>
      <c r="I292" s="141" t="str">
        <f t="shared" si="23"/>
        <v>999</v>
      </c>
      <c r="J292" s="141" t="s">
        <v>4327</v>
      </c>
      <c r="K292" s="141">
        <v>3239</v>
      </c>
      <c r="L292" s="141">
        <v>1</v>
      </c>
      <c r="M292" s="141">
        <v>0</v>
      </c>
      <c r="N292" s="141">
        <v>3000</v>
      </c>
      <c r="O292" s="141" t="s">
        <v>4405</v>
      </c>
      <c r="P292" s="141" t="s">
        <v>4501</v>
      </c>
    </row>
    <row r="293" spans="1:16" ht="25.5">
      <c r="A293" s="141">
        <v>76807</v>
      </c>
      <c r="B293" s="141" t="s">
        <v>4325</v>
      </c>
      <c r="C293" s="142">
        <v>41201</v>
      </c>
      <c r="D293" s="141">
        <v>1183</v>
      </c>
      <c r="E293" s="141" t="str">
        <f t="shared" si="22"/>
        <v>001</v>
      </c>
      <c r="F293" s="141" t="s">
        <v>4326</v>
      </c>
      <c r="G293" s="141" t="str">
        <f t="shared" si="24"/>
        <v>0285</v>
      </c>
      <c r="H293" s="141" t="s">
        <v>4493</v>
      </c>
      <c r="I293" s="141" t="str">
        <f t="shared" si="23"/>
        <v>999</v>
      </c>
      <c r="J293" s="141" t="s">
        <v>4327</v>
      </c>
      <c r="K293" s="141">
        <v>3240</v>
      </c>
      <c r="L293" s="141">
        <v>1</v>
      </c>
      <c r="M293" s="141">
        <v>0</v>
      </c>
      <c r="N293" s="141">
        <v>3000</v>
      </c>
      <c r="O293" s="141" t="s">
        <v>4405</v>
      </c>
      <c r="P293" s="141" t="s">
        <v>4501</v>
      </c>
    </row>
    <row r="294" spans="1:16" ht="25.5">
      <c r="A294" s="141">
        <v>76807</v>
      </c>
      <c r="B294" s="141" t="s">
        <v>4325</v>
      </c>
      <c r="C294" s="142">
        <v>41201</v>
      </c>
      <c r="D294" s="141">
        <v>1183</v>
      </c>
      <c r="E294" s="141" t="str">
        <f t="shared" si="22"/>
        <v>001</v>
      </c>
      <c r="F294" s="141" t="s">
        <v>4326</v>
      </c>
      <c r="G294" s="141" t="str">
        <f t="shared" si="24"/>
        <v>0285</v>
      </c>
      <c r="H294" s="141" t="s">
        <v>4493</v>
      </c>
      <c r="I294" s="141" t="str">
        <f t="shared" si="23"/>
        <v>999</v>
      </c>
      <c r="J294" s="141" t="s">
        <v>4327</v>
      </c>
      <c r="K294" s="141">
        <v>3241</v>
      </c>
      <c r="L294" s="141">
        <v>1</v>
      </c>
      <c r="M294" s="141">
        <v>0</v>
      </c>
      <c r="N294" s="141">
        <v>5000</v>
      </c>
      <c r="O294" s="141" t="s">
        <v>4337</v>
      </c>
      <c r="P294" s="141" t="s">
        <v>4430</v>
      </c>
    </row>
    <row r="295" spans="1:16" ht="25.5">
      <c r="A295" s="141">
        <v>76807</v>
      </c>
      <c r="B295" s="141" t="s">
        <v>4325</v>
      </c>
      <c r="C295" s="142">
        <v>41201</v>
      </c>
      <c r="D295" s="141">
        <v>1183</v>
      </c>
      <c r="E295" s="141" t="str">
        <f t="shared" si="22"/>
        <v>001</v>
      </c>
      <c r="F295" s="141" t="s">
        <v>4326</v>
      </c>
      <c r="G295" s="141" t="str">
        <f t="shared" si="24"/>
        <v>0285</v>
      </c>
      <c r="H295" s="141" t="s">
        <v>4493</v>
      </c>
      <c r="I295" s="141" t="str">
        <f t="shared" si="23"/>
        <v>999</v>
      </c>
      <c r="J295" s="141" t="s">
        <v>4327</v>
      </c>
      <c r="K295" s="141">
        <v>3242</v>
      </c>
      <c r="L295" s="141">
        <v>1</v>
      </c>
      <c r="M295" s="141">
        <v>0</v>
      </c>
      <c r="N295" s="141">
        <v>4000</v>
      </c>
      <c r="O295" s="141" t="s">
        <v>4351</v>
      </c>
      <c r="P295" s="141" t="s">
        <v>4502</v>
      </c>
    </row>
    <row r="296" spans="1:16" ht="25.5">
      <c r="A296" s="141">
        <v>76807</v>
      </c>
      <c r="B296" s="141" t="s">
        <v>4325</v>
      </c>
      <c r="C296" s="142">
        <v>41201</v>
      </c>
      <c r="D296" s="141">
        <v>1183</v>
      </c>
      <c r="E296" s="141" t="str">
        <f t="shared" si="22"/>
        <v>001</v>
      </c>
      <c r="F296" s="141" t="s">
        <v>4326</v>
      </c>
      <c r="G296" s="141" t="str">
        <f t="shared" si="24"/>
        <v>0285</v>
      </c>
      <c r="H296" s="141" t="s">
        <v>4493</v>
      </c>
      <c r="I296" s="141" t="str">
        <f t="shared" si="23"/>
        <v>999</v>
      </c>
      <c r="J296" s="141" t="s">
        <v>4327</v>
      </c>
      <c r="K296" s="141">
        <v>3243</v>
      </c>
      <c r="L296" s="141">
        <v>1</v>
      </c>
      <c r="M296" s="141">
        <v>0</v>
      </c>
      <c r="N296" s="141">
        <v>3000</v>
      </c>
      <c r="O296" s="141" t="s">
        <v>4405</v>
      </c>
      <c r="P296" s="141" t="s">
        <v>4501</v>
      </c>
    </row>
    <row r="297" spans="1:16" ht="25.5">
      <c r="A297" s="141">
        <v>76807</v>
      </c>
      <c r="B297" s="141" t="s">
        <v>4325</v>
      </c>
      <c r="C297" s="142">
        <v>41201</v>
      </c>
      <c r="D297" s="141">
        <v>1183</v>
      </c>
      <c r="E297" s="141" t="str">
        <f t="shared" si="22"/>
        <v>001</v>
      </c>
      <c r="F297" s="141" t="s">
        <v>4326</v>
      </c>
      <c r="G297" s="141" t="str">
        <f t="shared" si="24"/>
        <v>0285</v>
      </c>
      <c r="H297" s="141" t="s">
        <v>4493</v>
      </c>
      <c r="I297" s="141" t="str">
        <f t="shared" si="23"/>
        <v>999</v>
      </c>
      <c r="J297" s="141" t="s">
        <v>4327</v>
      </c>
      <c r="K297" s="141">
        <v>3244</v>
      </c>
      <c r="L297" s="141">
        <v>1</v>
      </c>
      <c r="M297" s="141">
        <v>0</v>
      </c>
      <c r="N297" s="141">
        <v>3000</v>
      </c>
      <c r="O297" s="141" t="s">
        <v>4405</v>
      </c>
      <c r="P297" s="141" t="s">
        <v>4501</v>
      </c>
    </row>
    <row r="298" spans="1:16" ht="25.5">
      <c r="A298" s="141">
        <v>76807</v>
      </c>
      <c r="B298" s="141" t="s">
        <v>4325</v>
      </c>
      <c r="C298" s="142">
        <v>41201</v>
      </c>
      <c r="D298" s="141">
        <v>1183</v>
      </c>
      <c r="E298" s="141" t="str">
        <f t="shared" si="22"/>
        <v>001</v>
      </c>
      <c r="F298" s="141" t="s">
        <v>4326</v>
      </c>
      <c r="G298" s="141" t="str">
        <f t="shared" si="24"/>
        <v>0285</v>
      </c>
      <c r="H298" s="141" t="s">
        <v>4493</v>
      </c>
      <c r="I298" s="141" t="str">
        <f t="shared" si="23"/>
        <v>999</v>
      </c>
      <c r="J298" s="141" t="s">
        <v>4327</v>
      </c>
      <c r="K298" s="141">
        <v>3245</v>
      </c>
      <c r="L298" s="141">
        <v>1</v>
      </c>
      <c r="M298" s="141">
        <v>0</v>
      </c>
      <c r="N298" s="141">
        <v>3000</v>
      </c>
      <c r="O298" s="141" t="s">
        <v>4405</v>
      </c>
      <c r="P298" s="141" t="s">
        <v>4501</v>
      </c>
    </row>
    <row r="299" spans="1:16" ht="25.5">
      <c r="A299" s="141">
        <v>76807</v>
      </c>
      <c r="B299" s="141" t="s">
        <v>4325</v>
      </c>
      <c r="C299" s="142">
        <v>41201</v>
      </c>
      <c r="D299" s="141">
        <v>1183</v>
      </c>
      <c r="E299" s="141" t="str">
        <f t="shared" si="22"/>
        <v>001</v>
      </c>
      <c r="F299" s="141" t="s">
        <v>4326</v>
      </c>
      <c r="G299" s="141" t="str">
        <f t="shared" si="24"/>
        <v>0285</v>
      </c>
      <c r="H299" s="141" t="s">
        <v>4493</v>
      </c>
      <c r="I299" s="141" t="str">
        <f t="shared" si="23"/>
        <v>999</v>
      </c>
      <c r="J299" s="141" t="s">
        <v>4327</v>
      </c>
      <c r="K299" s="141">
        <v>3246</v>
      </c>
      <c r="L299" s="141">
        <v>1</v>
      </c>
      <c r="M299" s="141">
        <v>0</v>
      </c>
      <c r="N299" s="141">
        <v>3000</v>
      </c>
      <c r="O299" s="141" t="s">
        <v>4405</v>
      </c>
      <c r="P299" s="141" t="s">
        <v>4501</v>
      </c>
    </row>
    <row r="300" spans="1:16" ht="25.5">
      <c r="A300" s="141">
        <v>76807</v>
      </c>
      <c r="B300" s="141" t="s">
        <v>4325</v>
      </c>
      <c r="C300" s="142">
        <v>41201</v>
      </c>
      <c r="D300" s="141">
        <v>1183</v>
      </c>
      <c r="E300" s="141" t="str">
        <f t="shared" si="22"/>
        <v>001</v>
      </c>
      <c r="F300" s="141" t="s">
        <v>4326</v>
      </c>
      <c r="G300" s="141" t="str">
        <f t="shared" si="24"/>
        <v>0285</v>
      </c>
      <c r="H300" s="141" t="s">
        <v>4493</v>
      </c>
      <c r="I300" s="141" t="str">
        <f t="shared" si="23"/>
        <v>999</v>
      </c>
      <c r="J300" s="141" t="s">
        <v>4327</v>
      </c>
      <c r="K300" s="141">
        <v>3247</v>
      </c>
      <c r="L300" s="141">
        <v>1</v>
      </c>
      <c r="M300" s="141">
        <v>0</v>
      </c>
      <c r="N300" s="141">
        <v>2000</v>
      </c>
      <c r="O300" s="141" t="s">
        <v>4330</v>
      </c>
      <c r="P300" s="141" t="s">
        <v>4443</v>
      </c>
    </row>
    <row r="301" spans="1:16" ht="25.5">
      <c r="A301" s="141">
        <v>76807</v>
      </c>
      <c r="B301" s="141" t="s">
        <v>4325</v>
      </c>
      <c r="C301" s="142">
        <v>41201</v>
      </c>
      <c r="D301" s="141">
        <v>1183</v>
      </c>
      <c r="E301" s="141" t="str">
        <f t="shared" si="22"/>
        <v>001</v>
      </c>
      <c r="F301" s="141" t="s">
        <v>4326</v>
      </c>
      <c r="G301" s="141" t="str">
        <f t="shared" si="24"/>
        <v>0285</v>
      </c>
      <c r="H301" s="141" t="s">
        <v>4493</v>
      </c>
      <c r="I301" s="141" t="str">
        <f t="shared" si="23"/>
        <v>999</v>
      </c>
      <c r="J301" s="141" t="s">
        <v>4327</v>
      </c>
      <c r="K301" s="141">
        <v>3248</v>
      </c>
      <c r="L301" s="141">
        <v>1</v>
      </c>
      <c r="M301" s="141">
        <v>0</v>
      </c>
      <c r="N301" s="141">
        <v>12000</v>
      </c>
      <c r="O301" s="141" t="s">
        <v>4357</v>
      </c>
      <c r="P301" s="141" t="s">
        <v>4496</v>
      </c>
    </row>
    <row r="302" spans="1:16" ht="25.5">
      <c r="A302" s="141">
        <v>76807</v>
      </c>
      <c r="B302" s="141" t="s">
        <v>4325</v>
      </c>
      <c r="C302" s="142">
        <v>41201</v>
      </c>
      <c r="D302" s="141">
        <v>1183</v>
      </c>
      <c r="E302" s="141" t="str">
        <f t="shared" si="22"/>
        <v>001</v>
      </c>
      <c r="F302" s="141" t="s">
        <v>4326</v>
      </c>
      <c r="G302" s="141" t="str">
        <f t="shared" si="24"/>
        <v>0285</v>
      </c>
      <c r="H302" s="141" t="s">
        <v>4493</v>
      </c>
      <c r="I302" s="141" t="str">
        <f t="shared" si="23"/>
        <v>999</v>
      </c>
      <c r="J302" s="141" t="s">
        <v>4327</v>
      </c>
      <c r="K302" s="141">
        <v>3249</v>
      </c>
      <c r="L302" s="141">
        <v>3</v>
      </c>
      <c r="M302" s="141">
        <v>0</v>
      </c>
      <c r="N302" s="141">
        <v>34000</v>
      </c>
      <c r="O302" s="141" t="s">
        <v>4357</v>
      </c>
      <c r="P302" s="141" t="s">
        <v>4503</v>
      </c>
    </row>
    <row r="303" spans="1:16" ht="25.5">
      <c r="A303" s="141">
        <v>76807</v>
      </c>
      <c r="B303" s="141" t="s">
        <v>4325</v>
      </c>
      <c r="C303" s="142">
        <v>41201</v>
      </c>
      <c r="D303" s="141">
        <v>1183</v>
      </c>
      <c r="E303" s="141" t="str">
        <f t="shared" si="22"/>
        <v>001</v>
      </c>
      <c r="F303" s="141" t="s">
        <v>4326</v>
      </c>
      <c r="G303" s="141" t="str">
        <f t="shared" si="24"/>
        <v>0285</v>
      </c>
      <c r="H303" s="141" t="s">
        <v>4493</v>
      </c>
      <c r="I303" s="141" t="str">
        <f t="shared" si="23"/>
        <v>999</v>
      </c>
      <c r="J303" s="141" t="s">
        <v>4327</v>
      </c>
      <c r="K303" s="141">
        <v>3250</v>
      </c>
      <c r="L303" s="141">
        <v>17</v>
      </c>
      <c r="M303" s="141">
        <v>0</v>
      </c>
      <c r="N303" s="141">
        <v>64000</v>
      </c>
      <c r="O303" s="141" t="s">
        <v>4357</v>
      </c>
      <c r="P303" s="141" t="s">
        <v>4361</v>
      </c>
    </row>
    <row r="304" spans="1:16" ht="25.5">
      <c r="A304" s="141">
        <v>76807</v>
      </c>
      <c r="B304" s="141" t="s">
        <v>4325</v>
      </c>
      <c r="C304" s="142">
        <v>41201</v>
      </c>
      <c r="D304" s="141">
        <v>1183</v>
      </c>
      <c r="E304" s="141" t="str">
        <f t="shared" si="22"/>
        <v>001</v>
      </c>
      <c r="F304" s="141" t="s">
        <v>4326</v>
      </c>
      <c r="G304" s="141" t="str">
        <f t="shared" si="24"/>
        <v>0285</v>
      </c>
      <c r="H304" s="141" t="s">
        <v>4493</v>
      </c>
      <c r="I304" s="141" t="str">
        <f t="shared" si="23"/>
        <v>999</v>
      </c>
      <c r="J304" s="141" t="s">
        <v>4327</v>
      </c>
      <c r="K304" s="141">
        <v>3251</v>
      </c>
      <c r="L304" s="141">
        <v>11</v>
      </c>
      <c r="M304" s="141">
        <v>0</v>
      </c>
      <c r="N304" s="141">
        <v>49000</v>
      </c>
      <c r="O304" s="141" t="s">
        <v>4357</v>
      </c>
      <c r="P304" s="141" t="s">
        <v>4362</v>
      </c>
    </row>
    <row r="305" spans="1:16" ht="25.5">
      <c r="A305" s="141">
        <v>76807</v>
      </c>
      <c r="B305" s="141" t="s">
        <v>4325</v>
      </c>
      <c r="C305" s="142">
        <v>41201</v>
      </c>
      <c r="D305" s="141">
        <v>1183</v>
      </c>
      <c r="E305" s="141" t="str">
        <f t="shared" si="22"/>
        <v>001</v>
      </c>
      <c r="F305" s="141" t="s">
        <v>4326</v>
      </c>
      <c r="G305" s="141" t="str">
        <f t="shared" si="24"/>
        <v>0285</v>
      </c>
      <c r="H305" s="141" t="s">
        <v>4493</v>
      </c>
      <c r="I305" s="141" t="str">
        <f t="shared" si="23"/>
        <v>999</v>
      </c>
      <c r="J305" s="141" t="s">
        <v>4327</v>
      </c>
      <c r="K305" s="141">
        <v>3252</v>
      </c>
      <c r="L305" s="141">
        <v>1</v>
      </c>
      <c r="M305" s="141">
        <v>0</v>
      </c>
      <c r="N305" s="141">
        <v>30000</v>
      </c>
      <c r="O305" s="141" t="s">
        <v>4458</v>
      </c>
      <c r="P305" s="141" t="s">
        <v>4504</v>
      </c>
    </row>
    <row r="306" spans="1:16" ht="25.5">
      <c r="A306" s="141">
        <v>76807</v>
      </c>
      <c r="B306" s="141" t="s">
        <v>4325</v>
      </c>
      <c r="C306" s="142">
        <v>41201</v>
      </c>
      <c r="D306" s="141">
        <v>1183</v>
      </c>
      <c r="E306" s="141" t="str">
        <f t="shared" si="22"/>
        <v>001</v>
      </c>
      <c r="F306" s="141" t="s">
        <v>4326</v>
      </c>
      <c r="G306" s="141" t="str">
        <f t="shared" si="24"/>
        <v>0285</v>
      </c>
      <c r="H306" s="141" t="s">
        <v>4493</v>
      </c>
      <c r="I306" s="141" t="str">
        <f t="shared" si="23"/>
        <v>999</v>
      </c>
      <c r="J306" s="141" t="s">
        <v>4327</v>
      </c>
      <c r="K306" s="141">
        <v>3253</v>
      </c>
      <c r="L306" s="141">
        <v>1</v>
      </c>
      <c r="M306" s="141">
        <v>0</v>
      </c>
      <c r="N306" s="141">
        <v>3000</v>
      </c>
      <c r="O306" s="141" t="s">
        <v>4405</v>
      </c>
      <c r="P306" s="141" t="s">
        <v>4501</v>
      </c>
    </row>
    <row r="307" spans="1:16" ht="25.5">
      <c r="A307" s="141">
        <v>76807</v>
      </c>
      <c r="B307" s="141" t="s">
        <v>4325</v>
      </c>
      <c r="C307" s="142">
        <v>41201</v>
      </c>
      <c r="D307" s="141">
        <v>1183</v>
      </c>
      <c r="E307" s="141" t="str">
        <f t="shared" si="22"/>
        <v>001</v>
      </c>
      <c r="F307" s="141" t="s">
        <v>4326</v>
      </c>
      <c r="G307" s="141" t="str">
        <f t="shared" si="24"/>
        <v>0285</v>
      </c>
      <c r="H307" s="141" t="s">
        <v>4493</v>
      </c>
      <c r="I307" s="141" t="str">
        <f t="shared" si="23"/>
        <v>999</v>
      </c>
      <c r="J307" s="141" t="s">
        <v>4327</v>
      </c>
      <c r="K307" s="141">
        <v>3254</v>
      </c>
      <c r="L307" s="141">
        <v>1</v>
      </c>
      <c r="M307" s="141">
        <v>0</v>
      </c>
      <c r="N307" s="141">
        <v>3000</v>
      </c>
      <c r="O307" s="141" t="s">
        <v>4405</v>
      </c>
      <c r="P307" s="141" t="s">
        <v>4501</v>
      </c>
    </row>
    <row r="308" spans="1:16" ht="25.5">
      <c r="A308" s="141">
        <v>76807</v>
      </c>
      <c r="B308" s="141" t="s">
        <v>4325</v>
      </c>
      <c r="C308" s="142">
        <v>41201</v>
      </c>
      <c r="D308" s="141">
        <v>1183</v>
      </c>
      <c r="E308" s="141" t="str">
        <f t="shared" si="22"/>
        <v>001</v>
      </c>
      <c r="F308" s="141" t="s">
        <v>4326</v>
      </c>
      <c r="G308" s="141" t="str">
        <f t="shared" si="24"/>
        <v>0285</v>
      </c>
      <c r="H308" s="141" t="s">
        <v>4493</v>
      </c>
      <c r="I308" s="141" t="str">
        <f t="shared" si="23"/>
        <v>999</v>
      </c>
      <c r="J308" s="141" t="s">
        <v>4327</v>
      </c>
      <c r="K308" s="141">
        <v>3255</v>
      </c>
      <c r="L308" s="141">
        <v>1</v>
      </c>
      <c r="M308" s="141">
        <v>0</v>
      </c>
      <c r="N308" s="141">
        <v>3000</v>
      </c>
      <c r="O308" s="141" t="s">
        <v>4405</v>
      </c>
      <c r="P308" s="141" t="s">
        <v>4501</v>
      </c>
    </row>
    <row r="309" spans="1:16" ht="25.5">
      <c r="A309" s="141">
        <v>76807</v>
      </c>
      <c r="B309" s="141" t="s">
        <v>4325</v>
      </c>
      <c r="C309" s="142">
        <v>41201</v>
      </c>
      <c r="D309" s="141">
        <v>1183</v>
      </c>
      <c r="E309" s="141" t="str">
        <f t="shared" si="22"/>
        <v>001</v>
      </c>
      <c r="F309" s="141" t="s">
        <v>4326</v>
      </c>
      <c r="G309" s="141" t="str">
        <f t="shared" si="24"/>
        <v>0285</v>
      </c>
      <c r="H309" s="141" t="s">
        <v>4493</v>
      </c>
      <c r="I309" s="141" t="str">
        <f t="shared" si="23"/>
        <v>999</v>
      </c>
      <c r="J309" s="141" t="s">
        <v>4327</v>
      </c>
      <c r="K309" s="141">
        <v>3256</v>
      </c>
      <c r="L309" s="141">
        <v>1</v>
      </c>
      <c r="M309" s="141">
        <v>0</v>
      </c>
      <c r="N309" s="141">
        <v>3000</v>
      </c>
      <c r="O309" s="141" t="s">
        <v>4405</v>
      </c>
      <c r="P309" s="141" t="s">
        <v>4501</v>
      </c>
    </row>
    <row r="310" spans="1:16" ht="25.5">
      <c r="A310" s="141">
        <v>76807</v>
      </c>
      <c r="B310" s="141" t="s">
        <v>4325</v>
      </c>
      <c r="C310" s="142">
        <v>41201</v>
      </c>
      <c r="D310" s="141">
        <v>1183</v>
      </c>
      <c r="E310" s="141" t="str">
        <f t="shared" si="22"/>
        <v>001</v>
      </c>
      <c r="F310" s="141" t="s">
        <v>4326</v>
      </c>
      <c r="G310" s="141" t="str">
        <f t="shared" si="24"/>
        <v>0285</v>
      </c>
      <c r="H310" s="141" t="s">
        <v>4493</v>
      </c>
      <c r="I310" s="141" t="str">
        <f t="shared" si="23"/>
        <v>999</v>
      </c>
      <c r="J310" s="141" t="s">
        <v>4327</v>
      </c>
      <c r="K310" s="141">
        <v>3257</v>
      </c>
      <c r="L310" s="141">
        <v>7</v>
      </c>
      <c r="M310" s="141">
        <v>0</v>
      </c>
      <c r="N310" s="141">
        <v>16000</v>
      </c>
      <c r="O310" s="141" t="s">
        <v>4334</v>
      </c>
      <c r="P310" s="141" t="s">
        <v>4340</v>
      </c>
    </row>
    <row r="311" spans="1:16" ht="25.5">
      <c r="A311" s="141">
        <v>76807</v>
      </c>
      <c r="B311" s="141" t="s">
        <v>4325</v>
      </c>
      <c r="C311" s="142">
        <v>41201</v>
      </c>
      <c r="D311" s="141">
        <v>1183</v>
      </c>
      <c r="E311" s="141" t="str">
        <f t="shared" si="22"/>
        <v>001</v>
      </c>
      <c r="F311" s="141" t="s">
        <v>4326</v>
      </c>
      <c r="G311" s="141" t="str">
        <f t="shared" si="24"/>
        <v>0285</v>
      </c>
      <c r="H311" s="141" t="s">
        <v>4493</v>
      </c>
      <c r="I311" s="141" t="str">
        <f t="shared" si="23"/>
        <v>999</v>
      </c>
      <c r="J311" s="141" t="s">
        <v>4327</v>
      </c>
      <c r="K311" s="141">
        <v>3258</v>
      </c>
      <c r="L311" s="141">
        <v>1</v>
      </c>
      <c r="M311" s="141">
        <v>0</v>
      </c>
      <c r="N311" s="141">
        <v>3000</v>
      </c>
      <c r="O311" s="141" t="s">
        <v>4404</v>
      </c>
      <c r="P311" s="141"/>
    </row>
    <row r="312" spans="1:16" ht="25.5">
      <c r="A312" s="141">
        <v>76807</v>
      </c>
      <c r="B312" s="141" t="s">
        <v>4325</v>
      </c>
      <c r="C312" s="142">
        <v>41201</v>
      </c>
      <c r="D312" s="141">
        <v>1183</v>
      </c>
      <c r="E312" s="141" t="str">
        <f t="shared" si="22"/>
        <v>001</v>
      </c>
      <c r="F312" s="141" t="s">
        <v>4326</v>
      </c>
      <c r="G312" s="141" t="str">
        <f t="shared" si="24"/>
        <v>0285</v>
      </c>
      <c r="H312" s="141" t="s">
        <v>4493</v>
      </c>
      <c r="I312" s="141" t="str">
        <f t="shared" si="23"/>
        <v>999</v>
      </c>
      <c r="J312" s="141" t="s">
        <v>4327</v>
      </c>
      <c r="K312" s="141">
        <v>3259</v>
      </c>
      <c r="L312" s="141">
        <v>1</v>
      </c>
      <c r="M312" s="141">
        <v>0</v>
      </c>
      <c r="N312" s="141">
        <v>2000</v>
      </c>
      <c r="O312" s="141" t="s">
        <v>4345</v>
      </c>
      <c r="P312" s="141"/>
    </row>
    <row r="313" spans="1:16" ht="25.5">
      <c r="A313" s="141">
        <v>76807</v>
      </c>
      <c r="B313" s="141" t="s">
        <v>4325</v>
      </c>
      <c r="C313" s="142">
        <v>41201</v>
      </c>
      <c r="D313" s="141">
        <v>1183</v>
      </c>
      <c r="E313" s="141" t="str">
        <f t="shared" si="22"/>
        <v>001</v>
      </c>
      <c r="F313" s="141" t="s">
        <v>4326</v>
      </c>
      <c r="G313" s="141" t="str">
        <f t="shared" si="24"/>
        <v>0285</v>
      </c>
      <c r="H313" s="141" t="s">
        <v>4493</v>
      </c>
      <c r="I313" s="141" t="str">
        <f t="shared" si="23"/>
        <v>999</v>
      </c>
      <c r="J313" s="141" t="s">
        <v>4327</v>
      </c>
      <c r="K313" s="141">
        <v>3260</v>
      </c>
      <c r="L313" s="141">
        <v>5</v>
      </c>
      <c r="M313" s="141">
        <v>0</v>
      </c>
      <c r="N313" s="141">
        <v>3000</v>
      </c>
      <c r="O313" s="141" t="s">
        <v>4350</v>
      </c>
      <c r="P313" s="141"/>
    </row>
    <row r="314" spans="1:16" ht="25.5">
      <c r="A314" s="141">
        <v>76807</v>
      </c>
      <c r="B314" s="141" t="s">
        <v>4325</v>
      </c>
      <c r="C314" s="142">
        <v>41201</v>
      </c>
      <c r="D314" s="141">
        <v>1183</v>
      </c>
      <c r="E314" s="141" t="str">
        <f t="shared" si="22"/>
        <v>001</v>
      </c>
      <c r="F314" s="141" t="s">
        <v>4326</v>
      </c>
      <c r="G314" s="141" t="str">
        <f t="shared" si="24"/>
        <v>0285</v>
      </c>
      <c r="H314" s="141" t="s">
        <v>4493</v>
      </c>
      <c r="I314" s="141" t="str">
        <f t="shared" si="23"/>
        <v>999</v>
      </c>
      <c r="J314" s="141" t="s">
        <v>4327</v>
      </c>
      <c r="K314" s="141">
        <v>3261</v>
      </c>
      <c r="L314" s="141">
        <v>1</v>
      </c>
      <c r="M314" s="141">
        <v>0</v>
      </c>
      <c r="N314" s="141">
        <v>0</v>
      </c>
      <c r="O314" s="141" t="s">
        <v>4455</v>
      </c>
      <c r="P314" s="141"/>
    </row>
    <row r="315" spans="1:16" ht="25.5">
      <c r="A315" s="141">
        <v>76807</v>
      </c>
      <c r="B315" s="141" t="s">
        <v>4325</v>
      </c>
      <c r="C315" s="142">
        <v>41201</v>
      </c>
      <c r="D315" s="141">
        <v>1183</v>
      </c>
      <c r="E315" s="141" t="str">
        <f t="shared" si="22"/>
        <v>001</v>
      </c>
      <c r="F315" s="141" t="s">
        <v>4326</v>
      </c>
      <c r="G315" s="141" t="str">
        <f t="shared" si="24"/>
        <v>0285</v>
      </c>
      <c r="H315" s="141" t="s">
        <v>4493</v>
      </c>
      <c r="I315" s="141" t="str">
        <f t="shared" si="23"/>
        <v>999</v>
      </c>
      <c r="J315" s="141" t="s">
        <v>4327</v>
      </c>
      <c r="K315" s="141">
        <v>3262</v>
      </c>
      <c r="L315" s="141">
        <v>1</v>
      </c>
      <c r="M315" s="141">
        <v>0</v>
      </c>
      <c r="N315" s="141">
        <v>89000</v>
      </c>
      <c r="O315" s="141" t="s">
        <v>4505</v>
      </c>
      <c r="P315" s="141" t="s">
        <v>4367</v>
      </c>
    </row>
    <row r="316" spans="1:16" ht="25.5">
      <c r="A316" s="141">
        <v>76807</v>
      </c>
      <c r="B316" s="141" t="s">
        <v>4325</v>
      </c>
      <c r="C316" s="142">
        <v>41201</v>
      </c>
      <c r="D316" s="141">
        <v>1183</v>
      </c>
      <c r="E316" s="141" t="str">
        <f t="shared" si="22"/>
        <v>001</v>
      </c>
      <c r="F316" s="141" t="s">
        <v>4326</v>
      </c>
      <c r="G316" s="141" t="str">
        <f t="shared" si="24"/>
        <v>0285</v>
      </c>
      <c r="H316" s="141" t="s">
        <v>4493</v>
      </c>
      <c r="I316" s="141" t="str">
        <f t="shared" si="23"/>
        <v>999</v>
      </c>
      <c r="J316" s="141" t="s">
        <v>4327</v>
      </c>
      <c r="K316" s="141">
        <v>3263</v>
      </c>
      <c r="L316" s="141">
        <v>1</v>
      </c>
      <c r="M316" s="141">
        <v>0</v>
      </c>
      <c r="N316" s="141">
        <v>9000</v>
      </c>
      <c r="O316" s="141" t="s">
        <v>4328</v>
      </c>
      <c r="P316" s="141" t="s">
        <v>4423</v>
      </c>
    </row>
    <row r="317" spans="1:16" ht="25.5">
      <c r="A317" s="141">
        <v>76807</v>
      </c>
      <c r="B317" s="141" t="s">
        <v>4325</v>
      </c>
      <c r="C317" s="142">
        <v>41201</v>
      </c>
      <c r="D317" s="141">
        <v>1183</v>
      </c>
      <c r="E317" s="141" t="str">
        <f t="shared" si="22"/>
        <v>001</v>
      </c>
      <c r="F317" s="141" t="s">
        <v>4326</v>
      </c>
      <c r="G317" s="141" t="str">
        <f t="shared" si="24"/>
        <v>0285</v>
      </c>
      <c r="H317" s="141" t="s">
        <v>4493</v>
      </c>
      <c r="I317" s="141" t="str">
        <f t="shared" si="23"/>
        <v>999</v>
      </c>
      <c r="J317" s="141" t="s">
        <v>4327</v>
      </c>
      <c r="K317" s="141">
        <v>3340</v>
      </c>
      <c r="L317" s="141">
        <v>1</v>
      </c>
      <c r="M317" s="141">
        <v>0</v>
      </c>
      <c r="N317" s="141">
        <v>23000</v>
      </c>
      <c r="O317" s="141" t="s">
        <v>4506</v>
      </c>
      <c r="P317" s="141"/>
    </row>
    <row r="318" spans="1:16" ht="25.5">
      <c r="A318" s="141">
        <v>76807</v>
      </c>
      <c r="B318" s="141" t="s">
        <v>4325</v>
      </c>
      <c r="C318" s="142">
        <v>41201</v>
      </c>
      <c r="D318" s="141">
        <v>1183</v>
      </c>
      <c r="E318" s="141" t="str">
        <f t="shared" si="22"/>
        <v>001</v>
      </c>
      <c r="F318" s="141" t="s">
        <v>4326</v>
      </c>
      <c r="G318" s="141" t="str">
        <f t="shared" si="24"/>
        <v>0285</v>
      </c>
      <c r="H318" s="141" t="s">
        <v>4493</v>
      </c>
      <c r="I318" s="141" t="str">
        <f t="shared" si="23"/>
        <v>999</v>
      </c>
      <c r="J318" s="141" t="s">
        <v>4327</v>
      </c>
      <c r="K318" s="141">
        <v>3341</v>
      </c>
      <c r="L318" s="141">
        <v>2</v>
      </c>
      <c r="M318" s="141">
        <v>0</v>
      </c>
      <c r="N318" s="141">
        <v>6000</v>
      </c>
      <c r="O318" s="141" t="s">
        <v>4507</v>
      </c>
      <c r="P318" s="141"/>
    </row>
    <row r="319" spans="1:16" ht="25.5">
      <c r="A319" s="141">
        <v>76807</v>
      </c>
      <c r="B319" s="141" t="s">
        <v>4325</v>
      </c>
      <c r="C319" s="142">
        <v>41201</v>
      </c>
      <c r="D319" s="141">
        <v>1183</v>
      </c>
      <c r="E319" s="141" t="str">
        <f t="shared" si="22"/>
        <v>001</v>
      </c>
      <c r="F319" s="141" t="s">
        <v>4326</v>
      </c>
      <c r="G319" s="141" t="str">
        <f t="shared" si="24"/>
        <v>0285</v>
      </c>
      <c r="H319" s="141" t="s">
        <v>4493</v>
      </c>
      <c r="I319" s="141" t="str">
        <f t="shared" si="23"/>
        <v>999</v>
      </c>
      <c r="J319" s="141" t="s">
        <v>4327</v>
      </c>
      <c r="K319" s="141">
        <v>3342</v>
      </c>
      <c r="L319" s="141">
        <v>1</v>
      </c>
      <c r="M319" s="141">
        <v>0</v>
      </c>
      <c r="N319" s="141">
        <v>1000</v>
      </c>
      <c r="O319" s="141" t="s">
        <v>4508</v>
      </c>
      <c r="P319" s="141"/>
    </row>
    <row r="320" spans="1:16" ht="25.5">
      <c r="A320" s="141">
        <v>76807</v>
      </c>
      <c r="B320" s="141" t="s">
        <v>4325</v>
      </c>
      <c r="C320" s="142">
        <v>41201</v>
      </c>
      <c r="D320" s="141">
        <v>1183</v>
      </c>
      <c r="E320" s="141" t="str">
        <f t="shared" si="22"/>
        <v>001</v>
      </c>
      <c r="F320" s="141" t="s">
        <v>4326</v>
      </c>
      <c r="G320" s="141" t="str">
        <f t="shared" si="24"/>
        <v>0285</v>
      </c>
      <c r="H320" s="141" t="s">
        <v>4493</v>
      </c>
      <c r="I320" s="141" t="str">
        <f t="shared" si="23"/>
        <v>999</v>
      </c>
      <c r="J320" s="141" t="s">
        <v>4327</v>
      </c>
      <c r="K320" s="141">
        <v>3343</v>
      </c>
      <c r="L320" s="141">
        <v>1</v>
      </c>
      <c r="M320" s="141">
        <v>0</v>
      </c>
      <c r="N320" s="141">
        <v>46000</v>
      </c>
      <c r="O320" s="141" t="s">
        <v>4509</v>
      </c>
      <c r="P320" s="141"/>
    </row>
    <row r="321" spans="1:16" ht="25.5">
      <c r="A321" s="141">
        <v>76807</v>
      </c>
      <c r="B321" s="141" t="s">
        <v>4325</v>
      </c>
      <c r="C321" s="142">
        <v>41201</v>
      </c>
      <c r="D321" s="141">
        <v>1183</v>
      </c>
      <c r="E321" s="141" t="str">
        <f t="shared" si="22"/>
        <v>001</v>
      </c>
      <c r="F321" s="141" t="s">
        <v>4326</v>
      </c>
      <c r="G321" s="141" t="str">
        <f t="shared" si="24"/>
        <v>0285</v>
      </c>
      <c r="H321" s="141" t="s">
        <v>4493</v>
      </c>
      <c r="I321" s="141" t="str">
        <f t="shared" si="23"/>
        <v>999</v>
      </c>
      <c r="J321" s="141" t="s">
        <v>4327</v>
      </c>
      <c r="K321" s="141">
        <v>3344</v>
      </c>
      <c r="L321" s="141">
        <v>1</v>
      </c>
      <c r="M321" s="141">
        <v>0</v>
      </c>
      <c r="N321" s="141">
        <v>2000</v>
      </c>
      <c r="O321" s="141" t="s">
        <v>4510</v>
      </c>
      <c r="P321" s="141"/>
    </row>
    <row r="322" spans="1:16" ht="25.5">
      <c r="A322" s="141">
        <v>76807</v>
      </c>
      <c r="B322" s="141" t="s">
        <v>4325</v>
      </c>
      <c r="C322" s="142">
        <v>41201</v>
      </c>
      <c r="D322" s="141">
        <v>420</v>
      </c>
      <c r="E322" s="141" t="str">
        <f t="shared" ref="E322:E385" si="25">"001"</f>
        <v>001</v>
      </c>
      <c r="F322" s="141" t="s">
        <v>4326</v>
      </c>
      <c r="G322" s="141" t="str">
        <f t="shared" ref="G322:G332" si="26">"0286"</f>
        <v>0286</v>
      </c>
      <c r="H322" s="141" t="s">
        <v>1618</v>
      </c>
      <c r="I322" s="141" t="str">
        <f t="shared" ref="I322:I385" si="27">"999"</f>
        <v>999</v>
      </c>
      <c r="J322" s="141" t="s">
        <v>4327</v>
      </c>
      <c r="K322" s="141">
        <v>1169</v>
      </c>
      <c r="L322" s="141">
        <v>2</v>
      </c>
      <c r="M322" s="141">
        <v>0</v>
      </c>
      <c r="N322" s="141">
        <v>23000</v>
      </c>
      <c r="O322" s="141" t="s">
        <v>4511</v>
      </c>
      <c r="P322" s="141"/>
    </row>
    <row r="323" spans="1:16" ht="25.5">
      <c r="A323" s="141">
        <v>76807</v>
      </c>
      <c r="B323" s="141" t="s">
        <v>4325</v>
      </c>
      <c r="C323" s="142">
        <v>41201</v>
      </c>
      <c r="D323" s="141">
        <v>420</v>
      </c>
      <c r="E323" s="141" t="str">
        <f t="shared" si="25"/>
        <v>001</v>
      </c>
      <c r="F323" s="141" t="s">
        <v>4326</v>
      </c>
      <c r="G323" s="141" t="str">
        <f t="shared" si="26"/>
        <v>0286</v>
      </c>
      <c r="H323" s="141" t="s">
        <v>1618</v>
      </c>
      <c r="I323" s="141" t="str">
        <f t="shared" si="27"/>
        <v>999</v>
      </c>
      <c r="J323" s="141" t="s">
        <v>4327</v>
      </c>
      <c r="K323" s="141">
        <v>1170</v>
      </c>
      <c r="L323" s="141">
        <v>6</v>
      </c>
      <c r="M323" s="141">
        <v>0</v>
      </c>
      <c r="N323" s="141">
        <v>3000</v>
      </c>
      <c r="O323" s="141" t="s">
        <v>4350</v>
      </c>
      <c r="P323" s="141"/>
    </row>
    <row r="324" spans="1:16" ht="25.5">
      <c r="A324" s="141">
        <v>76807</v>
      </c>
      <c r="B324" s="141" t="s">
        <v>4325</v>
      </c>
      <c r="C324" s="142">
        <v>41201</v>
      </c>
      <c r="D324" s="141">
        <v>420</v>
      </c>
      <c r="E324" s="141" t="str">
        <f t="shared" si="25"/>
        <v>001</v>
      </c>
      <c r="F324" s="141" t="s">
        <v>4326</v>
      </c>
      <c r="G324" s="141" t="str">
        <f t="shared" si="26"/>
        <v>0286</v>
      </c>
      <c r="H324" s="141" t="s">
        <v>1618</v>
      </c>
      <c r="I324" s="141" t="str">
        <f t="shared" si="27"/>
        <v>999</v>
      </c>
      <c r="J324" s="141" t="s">
        <v>4327</v>
      </c>
      <c r="K324" s="141">
        <v>1171</v>
      </c>
      <c r="L324" s="141">
        <v>1</v>
      </c>
      <c r="M324" s="141">
        <v>0</v>
      </c>
      <c r="N324" s="141">
        <v>17000</v>
      </c>
      <c r="O324" s="141" t="s">
        <v>4399</v>
      </c>
      <c r="P324" s="141" t="s">
        <v>4512</v>
      </c>
    </row>
    <row r="325" spans="1:16" ht="25.5">
      <c r="A325" s="141">
        <v>76807</v>
      </c>
      <c r="B325" s="141" t="s">
        <v>4325</v>
      </c>
      <c r="C325" s="142">
        <v>41201</v>
      </c>
      <c r="D325" s="141">
        <v>420</v>
      </c>
      <c r="E325" s="141" t="str">
        <f t="shared" si="25"/>
        <v>001</v>
      </c>
      <c r="F325" s="141" t="s">
        <v>4326</v>
      </c>
      <c r="G325" s="141" t="str">
        <f t="shared" si="26"/>
        <v>0286</v>
      </c>
      <c r="H325" s="141" t="s">
        <v>1618</v>
      </c>
      <c r="I325" s="141" t="str">
        <f t="shared" si="27"/>
        <v>999</v>
      </c>
      <c r="J325" s="141" t="s">
        <v>4327</v>
      </c>
      <c r="K325" s="141">
        <v>1172</v>
      </c>
      <c r="L325" s="141">
        <v>1</v>
      </c>
      <c r="M325" s="141">
        <v>0</v>
      </c>
      <c r="N325" s="141">
        <v>1000</v>
      </c>
      <c r="O325" s="141" t="s">
        <v>4381</v>
      </c>
      <c r="P325" s="141"/>
    </row>
    <row r="326" spans="1:16" ht="25.5">
      <c r="A326" s="141">
        <v>76807</v>
      </c>
      <c r="B326" s="141" t="s">
        <v>4325</v>
      </c>
      <c r="C326" s="142">
        <v>41201</v>
      </c>
      <c r="D326" s="141">
        <v>420</v>
      </c>
      <c r="E326" s="141" t="str">
        <f t="shared" si="25"/>
        <v>001</v>
      </c>
      <c r="F326" s="141" t="s">
        <v>4326</v>
      </c>
      <c r="G326" s="141" t="str">
        <f t="shared" si="26"/>
        <v>0286</v>
      </c>
      <c r="H326" s="141" t="s">
        <v>1618</v>
      </c>
      <c r="I326" s="141" t="str">
        <f t="shared" si="27"/>
        <v>999</v>
      </c>
      <c r="J326" s="141" t="s">
        <v>4327</v>
      </c>
      <c r="K326" s="141">
        <v>1173</v>
      </c>
      <c r="L326" s="141">
        <v>6</v>
      </c>
      <c r="M326" s="141">
        <v>0</v>
      </c>
      <c r="N326" s="141">
        <v>13000</v>
      </c>
      <c r="O326" s="141" t="s">
        <v>4408</v>
      </c>
      <c r="P326" s="141"/>
    </row>
    <row r="327" spans="1:16" ht="25.5">
      <c r="A327" s="141">
        <v>76807</v>
      </c>
      <c r="B327" s="141" t="s">
        <v>4325</v>
      </c>
      <c r="C327" s="142">
        <v>41201</v>
      </c>
      <c r="D327" s="141">
        <v>420</v>
      </c>
      <c r="E327" s="141" t="str">
        <f t="shared" si="25"/>
        <v>001</v>
      </c>
      <c r="F327" s="141" t="s">
        <v>4326</v>
      </c>
      <c r="G327" s="141" t="str">
        <f t="shared" si="26"/>
        <v>0286</v>
      </c>
      <c r="H327" s="141" t="s">
        <v>1618</v>
      </c>
      <c r="I327" s="141" t="str">
        <f t="shared" si="27"/>
        <v>999</v>
      </c>
      <c r="J327" s="141" t="s">
        <v>4327</v>
      </c>
      <c r="K327" s="141">
        <v>1174</v>
      </c>
      <c r="L327" s="141">
        <v>3</v>
      </c>
      <c r="M327" s="141">
        <v>0</v>
      </c>
      <c r="N327" s="141">
        <v>2000</v>
      </c>
      <c r="O327" s="141" t="s">
        <v>4343</v>
      </c>
      <c r="P327" s="141"/>
    </row>
    <row r="328" spans="1:16" ht="25.5">
      <c r="A328" s="141">
        <v>76807</v>
      </c>
      <c r="B328" s="141" t="s">
        <v>4325</v>
      </c>
      <c r="C328" s="142">
        <v>41201</v>
      </c>
      <c r="D328" s="141">
        <v>420</v>
      </c>
      <c r="E328" s="141" t="str">
        <f t="shared" si="25"/>
        <v>001</v>
      </c>
      <c r="F328" s="141" t="s">
        <v>4326</v>
      </c>
      <c r="G328" s="141" t="str">
        <f t="shared" si="26"/>
        <v>0286</v>
      </c>
      <c r="H328" s="141" t="s">
        <v>1618</v>
      </c>
      <c r="I328" s="141" t="str">
        <f t="shared" si="27"/>
        <v>999</v>
      </c>
      <c r="J328" s="141" t="s">
        <v>4327</v>
      </c>
      <c r="K328" s="141">
        <v>1175</v>
      </c>
      <c r="L328" s="141">
        <v>12</v>
      </c>
      <c r="M328" s="141">
        <v>0</v>
      </c>
      <c r="N328" s="141">
        <v>88000</v>
      </c>
      <c r="O328" s="141" t="s">
        <v>4357</v>
      </c>
      <c r="P328" s="141" t="s">
        <v>4413</v>
      </c>
    </row>
    <row r="329" spans="1:16" ht="25.5">
      <c r="A329" s="141">
        <v>76807</v>
      </c>
      <c r="B329" s="141" t="s">
        <v>4325</v>
      </c>
      <c r="C329" s="142">
        <v>41201</v>
      </c>
      <c r="D329" s="141">
        <v>420</v>
      </c>
      <c r="E329" s="141" t="str">
        <f t="shared" si="25"/>
        <v>001</v>
      </c>
      <c r="F329" s="141" t="s">
        <v>4326</v>
      </c>
      <c r="G329" s="141" t="str">
        <f t="shared" si="26"/>
        <v>0286</v>
      </c>
      <c r="H329" s="141" t="s">
        <v>1618</v>
      </c>
      <c r="I329" s="141" t="str">
        <f t="shared" si="27"/>
        <v>999</v>
      </c>
      <c r="J329" s="141" t="s">
        <v>4327</v>
      </c>
      <c r="K329" s="141">
        <v>1176</v>
      </c>
      <c r="L329" s="141">
        <v>7</v>
      </c>
      <c r="M329" s="141">
        <v>0</v>
      </c>
      <c r="N329" s="141">
        <v>81000</v>
      </c>
      <c r="O329" s="141" t="s">
        <v>4513</v>
      </c>
      <c r="P329" s="141" t="s">
        <v>4477</v>
      </c>
    </row>
    <row r="330" spans="1:16" ht="25.5">
      <c r="A330" s="141">
        <v>76807</v>
      </c>
      <c r="B330" s="141" t="s">
        <v>4325</v>
      </c>
      <c r="C330" s="142">
        <v>41201</v>
      </c>
      <c r="D330" s="141">
        <v>420</v>
      </c>
      <c r="E330" s="141" t="str">
        <f t="shared" si="25"/>
        <v>001</v>
      </c>
      <c r="F330" s="141" t="s">
        <v>4326</v>
      </c>
      <c r="G330" s="141" t="str">
        <f t="shared" si="26"/>
        <v>0286</v>
      </c>
      <c r="H330" s="141" t="s">
        <v>1618</v>
      </c>
      <c r="I330" s="141" t="str">
        <f t="shared" si="27"/>
        <v>999</v>
      </c>
      <c r="J330" s="141" t="s">
        <v>4327</v>
      </c>
      <c r="K330" s="141">
        <v>1177</v>
      </c>
      <c r="L330" s="141">
        <v>1</v>
      </c>
      <c r="M330" s="141">
        <v>0</v>
      </c>
      <c r="N330" s="141">
        <v>26000</v>
      </c>
      <c r="O330" s="141" t="s">
        <v>4337</v>
      </c>
      <c r="P330" s="141" t="s">
        <v>4514</v>
      </c>
    </row>
    <row r="331" spans="1:16" ht="25.5">
      <c r="A331" s="141">
        <v>76807</v>
      </c>
      <c r="B331" s="141" t="s">
        <v>4325</v>
      </c>
      <c r="C331" s="142">
        <v>41201</v>
      </c>
      <c r="D331" s="141">
        <v>420</v>
      </c>
      <c r="E331" s="141" t="str">
        <f t="shared" si="25"/>
        <v>001</v>
      </c>
      <c r="F331" s="141" t="s">
        <v>4326</v>
      </c>
      <c r="G331" s="141" t="str">
        <f t="shared" si="26"/>
        <v>0286</v>
      </c>
      <c r="H331" s="141" t="s">
        <v>1618</v>
      </c>
      <c r="I331" s="141" t="str">
        <f t="shared" si="27"/>
        <v>999</v>
      </c>
      <c r="J331" s="141" t="s">
        <v>4327</v>
      </c>
      <c r="K331" s="141">
        <v>1178</v>
      </c>
      <c r="L331" s="141">
        <v>2</v>
      </c>
      <c r="M331" s="141">
        <v>0</v>
      </c>
      <c r="N331" s="141">
        <v>13000</v>
      </c>
      <c r="O331" s="141" t="s">
        <v>4407</v>
      </c>
      <c r="P331" s="141"/>
    </row>
    <row r="332" spans="1:16" ht="25.5">
      <c r="A332" s="141">
        <v>76807</v>
      </c>
      <c r="B332" s="141" t="s">
        <v>4325</v>
      </c>
      <c r="C332" s="142">
        <v>41201</v>
      </c>
      <c r="D332" s="141">
        <v>420</v>
      </c>
      <c r="E332" s="141" t="str">
        <f t="shared" si="25"/>
        <v>001</v>
      </c>
      <c r="F332" s="141" t="s">
        <v>4326</v>
      </c>
      <c r="G332" s="141" t="str">
        <f t="shared" si="26"/>
        <v>0286</v>
      </c>
      <c r="H332" s="141" t="s">
        <v>1618</v>
      </c>
      <c r="I332" s="141" t="str">
        <f t="shared" si="27"/>
        <v>999</v>
      </c>
      <c r="J332" s="141" t="s">
        <v>4327</v>
      </c>
      <c r="K332" s="141">
        <v>1179</v>
      </c>
      <c r="L332" s="141">
        <v>2</v>
      </c>
      <c r="M332" s="141">
        <v>0</v>
      </c>
      <c r="N332" s="141">
        <v>3000</v>
      </c>
      <c r="O332" s="141" t="s">
        <v>4515</v>
      </c>
      <c r="P332" s="141"/>
    </row>
    <row r="333" spans="1:16" ht="25.5">
      <c r="A333" s="141">
        <v>76807</v>
      </c>
      <c r="B333" s="141" t="s">
        <v>4325</v>
      </c>
      <c r="C333" s="142">
        <v>41201</v>
      </c>
      <c r="D333" s="141">
        <v>408</v>
      </c>
      <c r="E333" s="141" t="str">
        <f t="shared" si="25"/>
        <v>001</v>
      </c>
      <c r="F333" s="141" t="s">
        <v>4326</v>
      </c>
      <c r="G333" s="141" t="str">
        <f t="shared" ref="G333:G338" si="28">"0287"</f>
        <v>0287</v>
      </c>
      <c r="H333" s="141" t="s">
        <v>2713</v>
      </c>
      <c r="I333" s="141" t="str">
        <f t="shared" si="27"/>
        <v>999</v>
      </c>
      <c r="J333" s="141" t="s">
        <v>4327</v>
      </c>
      <c r="K333" s="141">
        <v>1103</v>
      </c>
      <c r="L333" s="141">
        <v>1</v>
      </c>
      <c r="M333" s="141">
        <v>0</v>
      </c>
      <c r="N333" s="141">
        <v>11000</v>
      </c>
      <c r="O333" s="141" t="s">
        <v>4337</v>
      </c>
      <c r="P333" s="141" t="s">
        <v>4516</v>
      </c>
    </row>
    <row r="334" spans="1:16" ht="25.5">
      <c r="A334" s="141">
        <v>76807</v>
      </c>
      <c r="B334" s="141" t="s">
        <v>4325</v>
      </c>
      <c r="C334" s="142">
        <v>41201</v>
      </c>
      <c r="D334" s="141">
        <v>408</v>
      </c>
      <c r="E334" s="141" t="str">
        <f t="shared" si="25"/>
        <v>001</v>
      </c>
      <c r="F334" s="141" t="s">
        <v>4326</v>
      </c>
      <c r="G334" s="141" t="str">
        <f t="shared" si="28"/>
        <v>0287</v>
      </c>
      <c r="H334" s="141" t="s">
        <v>2713</v>
      </c>
      <c r="I334" s="141" t="str">
        <f t="shared" si="27"/>
        <v>999</v>
      </c>
      <c r="J334" s="141" t="s">
        <v>4327</v>
      </c>
      <c r="K334" s="141">
        <v>1104</v>
      </c>
      <c r="L334" s="141">
        <v>1</v>
      </c>
      <c r="M334" s="141">
        <v>0</v>
      </c>
      <c r="N334" s="141">
        <v>6000</v>
      </c>
      <c r="O334" s="141" t="s">
        <v>4407</v>
      </c>
      <c r="P334" s="141"/>
    </row>
    <row r="335" spans="1:16" ht="25.5">
      <c r="A335" s="141">
        <v>76807</v>
      </c>
      <c r="B335" s="141" t="s">
        <v>4325</v>
      </c>
      <c r="C335" s="142">
        <v>41201</v>
      </c>
      <c r="D335" s="141">
        <v>408</v>
      </c>
      <c r="E335" s="141" t="str">
        <f t="shared" si="25"/>
        <v>001</v>
      </c>
      <c r="F335" s="141" t="s">
        <v>4326</v>
      </c>
      <c r="G335" s="141" t="str">
        <f t="shared" si="28"/>
        <v>0287</v>
      </c>
      <c r="H335" s="141" t="s">
        <v>2713</v>
      </c>
      <c r="I335" s="141" t="str">
        <f t="shared" si="27"/>
        <v>999</v>
      </c>
      <c r="J335" s="141" t="s">
        <v>4327</v>
      </c>
      <c r="K335" s="141">
        <v>1105</v>
      </c>
      <c r="L335" s="141">
        <v>8</v>
      </c>
      <c r="M335" s="141">
        <v>0</v>
      </c>
      <c r="N335" s="141">
        <v>17000</v>
      </c>
      <c r="O335" s="141" t="s">
        <v>4408</v>
      </c>
      <c r="P335" s="141"/>
    </row>
    <row r="336" spans="1:16" ht="25.5">
      <c r="A336" s="141">
        <v>76807</v>
      </c>
      <c r="B336" s="141" t="s">
        <v>4325</v>
      </c>
      <c r="C336" s="142">
        <v>41201</v>
      </c>
      <c r="D336" s="141">
        <v>408</v>
      </c>
      <c r="E336" s="141" t="str">
        <f t="shared" si="25"/>
        <v>001</v>
      </c>
      <c r="F336" s="141" t="s">
        <v>4326</v>
      </c>
      <c r="G336" s="141" t="str">
        <f t="shared" si="28"/>
        <v>0287</v>
      </c>
      <c r="H336" s="141" t="s">
        <v>2713</v>
      </c>
      <c r="I336" s="141" t="str">
        <f t="shared" si="27"/>
        <v>999</v>
      </c>
      <c r="J336" s="141" t="s">
        <v>4327</v>
      </c>
      <c r="K336" s="141">
        <v>1106</v>
      </c>
      <c r="L336" s="141">
        <v>6</v>
      </c>
      <c r="M336" s="141">
        <v>0</v>
      </c>
      <c r="N336" s="141">
        <v>4000</v>
      </c>
      <c r="O336" s="141" t="s">
        <v>4343</v>
      </c>
      <c r="P336" s="141"/>
    </row>
    <row r="337" spans="1:16" ht="25.5">
      <c r="A337" s="141">
        <v>76807</v>
      </c>
      <c r="B337" s="141" t="s">
        <v>4325</v>
      </c>
      <c r="C337" s="142">
        <v>41201</v>
      </c>
      <c r="D337" s="141">
        <v>408</v>
      </c>
      <c r="E337" s="141" t="str">
        <f t="shared" si="25"/>
        <v>001</v>
      </c>
      <c r="F337" s="141" t="s">
        <v>4326</v>
      </c>
      <c r="G337" s="141" t="str">
        <f t="shared" si="28"/>
        <v>0287</v>
      </c>
      <c r="H337" s="141" t="s">
        <v>2713</v>
      </c>
      <c r="I337" s="141" t="str">
        <f t="shared" si="27"/>
        <v>999</v>
      </c>
      <c r="J337" s="141" t="s">
        <v>4327</v>
      </c>
      <c r="K337" s="141">
        <v>1107</v>
      </c>
      <c r="L337" s="141">
        <v>10</v>
      </c>
      <c r="M337" s="141">
        <v>0</v>
      </c>
      <c r="N337" s="141">
        <v>145000</v>
      </c>
      <c r="O337" s="141" t="s">
        <v>4357</v>
      </c>
      <c r="P337" s="141" t="s">
        <v>4476</v>
      </c>
    </row>
    <row r="338" spans="1:16" ht="25.5">
      <c r="A338" s="141">
        <v>76807</v>
      </c>
      <c r="B338" s="141" t="s">
        <v>4325</v>
      </c>
      <c r="C338" s="142">
        <v>41201</v>
      </c>
      <c r="D338" s="141">
        <v>408</v>
      </c>
      <c r="E338" s="141" t="str">
        <f t="shared" si="25"/>
        <v>001</v>
      </c>
      <c r="F338" s="141" t="s">
        <v>4326</v>
      </c>
      <c r="G338" s="141" t="str">
        <f t="shared" si="28"/>
        <v>0287</v>
      </c>
      <c r="H338" s="141" t="s">
        <v>2713</v>
      </c>
      <c r="I338" s="141" t="str">
        <f t="shared" si="27"/>
        <v>999</v>
      </c>
      <c r="J338" s="141" t="s">
        <v>4327</v>
      </c>
      <c r="K338" s="141">
        <v>1108</v>
      </c>
      <c r="L338" s="141">
        <v>6</v>
      </c>
      <c r="M338" s="141">
        <v>0</v>
      </c>
      <c r="N338" s="141">
        <v>32000</v>
      </c>
      <c r="O338" s="141" t="s">
        <v>4357</v>
      </c>
      <c r="P338" s="141" t="s">
        <v>4517</v>
      </c>
    </row>
    <row r="339" spans="1:16" ht="25.5">
      <c r="A339" s="141">
        <v>76807</v>
      </c>
      <c r="B339" s="141" t="s">
        <v>4325</v>
      </c>
      <c r="C339" s="142">
        <v>41201</v>
      </c>
      <c r="D339" s="141">
        <v>717</v>
      </c>
      <c r="E339" s="141" t="str">
        <f t="shared" si="25"/>
        <v>001</v>
      </c>
      <c r="F339" s="141" t="s">
        <v>4326</v>
      </c>
      <c r="G339" s="141" t="str">
        <f t="shared" ref="G339:G353" si="29">"0288"</f>
        <v>0288</v>
      </c>
      <c r="H339" s="141" t="s">
        <v>2657</v>
      </c>
      <c r="I339" s="141" t="str">
        <f t="shared" si="27"/>
        <v>999</v>
      </c>
      <c r="J339" s="141" t="s">
        <v>4327</v>
      </c>
      <c r="K339" s="141">
        <v>2109</v>
      </c>
      <c r="L339" s="141">
        <v>1</v>
      </c>
      <c r="M339" s="141">
        <v>0</v>
      </c>
      <c r="N339" s="141">
        <v>4000</v>
      </c>
      <c r="O339" s="141" t="s">
        <v>4328</v>
      </c>
      <c r="P339" s="141" t="s">
        <v>4470</v>
      </c>
    </row>
    <row r="340" spans="1:16" ht="25.5">
      <c r="A340" s="141">
        <v>76807</v>
      </c>
      <c r="B340" s="141" t="s">
        <v>4325</v>
      </c>
      <c r="C340" s="142">
        <v>41201</v>
      </c>
      <c r="D340" s="141">
        <v>717</v>
      </c>
      <c r="E340" s="141" t="str">
        <f t="shared" si="25"/>
        <v>001</v>
      </c>
      <c r="F340" s="141" t="s">
        <v>4326</v>
      </c>
      <c r="G340" s="141" t="str">
        <f t="shared" si="29"/>
        <v>0288</v>
      </c>
      <c r="H340" s="141" t="s">
        <v>2657</v>
      </c>
      <c r="I340" s="141" t="str">
        <f t="shared" si="27"/>
        <v>999</v>
      </c>
      <c r="J340" s="141" t="s">
        <v>4327</v>
      </c>
      <c r="K340" s="141">
        <v>2110</v>
      </c>
      <c r="L340" s="141">
        <v>1</v>
      </c>
      <c r="M340" s="141">
        <v>0</v>
      </c>
      <c r="N340" s="141">
        <v>6000</v>
      </c>
      <c r="O340" s="141" t="s">
        <v>4518</v>
      </c>
      <c r="P340" s="141" t="s">
        <v>4519</v>
      </c>
    </row>
    <row r="341" spans="1:16" ht="25.5">
      <c r="A341" s="141">
        <v>76807</v>
      </c>
      <c r="B341" s="141" t="s">
        <v>4325</v>
      </c>
      <c r="C341" s="142">
        <v>41201</v>
      </c>
      <c r="D341" s="141">
        <v>717</v>
      </c>
      <c r="E341" s="141" t="str">
        <f t="shared" si="25"/>
        <v>001</v>
      </c>
      <c r="F341" s="141" t="s">
        <v>4326</v>
      </c>
      <c r="G341" s="141" t="str">
        <f t="shared" si="29"/>
        <v>0288</v>
      </c>
      <c r="H341" s="141" t="s">
        <v>2657</v>
      </c>
      <c r="I341" s="141" t="str">
        <f t="shared" si="27"/>
        <v>999</v>
      </c>
      <c r="J341" s="141" t="s">
        <v>4327</v>
      </c>
      <c r="K341" s="141">
        <v>2111</v>
      </c>
      <c r="L341" s="141">
        <v>1</v>
      </c>
      <c r="M341" s="141">
        <v>0</v>
      </c>
      <c r="N341" s="141">
        <v>2000</v>
      </c>
      <c r="O341" s="141" t="s">
        <v>4388</v>
      </c>
      <c r="P341" s="141" t="s">
        <v>4355</v>
      </c>
    </row>
    <row r="342" spans="1:16" ht="25.5">
      <c r="A342" s="141">
        <v>76807</v>
      </c>
      <c r="B342" s="141" t="s">
        <v>4325</v>
      </c>
      <c r="C342" s="142">
        <v>41201</v>
      </c>
      <c r="D342" s="141">
        <v>717</v>
      </c>
      <c r="E342" s="141" t="str">
        <f t="shared" si="25"/>
        <v>001</v>
      </c>
      <c r="F342" s="141" t="s">
        <v>4326</v>
      </c>
      <c r="G342" s="141" t="str">
        <f t="shared" si="29"/>
        <v>0288</v>
      </c>
      <c r="H342" s="141" t="s">
        <v>2657</v>
      </c>
      <c r="I342" s="141" t="str">
        <f t="shared" si="27"/>
        <v>999</v>
      </c>
      <c r="J342" s="141" t="s">
        <v>4327</v>
      </c>
      <c r="K342" s="141">
        <v>2112</v>
      </c>
      <c r="L342" s="141">
        <v>9</v>
      </c>
      <c r="M342" s="141">
        <v>0</v>
      </c>
      <c r="N342" s="141">
        <v>14000</v>
      </c>
      <c r="O342" s="141" t="s">
        <v>4339</v>
      </c>
      <c r="P342" s="141" t="s">
        <v>4363</v>
      </c>
    </row>
    <row r="343" spans="1:16" ht="25.5">
      <c r="A343" s="141">
        <v>76807</v>
      </c>
      <c r="B343" s="141" t="s">
        <v>4325</v>
      </c>
      <c r="C343" s="142">
        <v>41201</v>
      </c>
      <c r="D343" s="141">
        <v>717</v>
      </c>
      <c r="E343" s="141" t="str">
        <f t="shared" si="25"/>
        <v>001</v>
      </c>
      <c r="F343" s="141" t="s">
        <v>4326</v>
      </c>
      <c r="G343" s="141" t="str">
        <f t="shared" si="29"/>
        <v>0288</v>
      </c>
      <c r="H343" s="141" t="s">
        <v>2657</v>
      </c>
      <c r="I343" s="141" t="str">
        <f t="shared" si="27"/>
        <v>999</v>
      </c>
      <c r="J343" s="141" t="s">
        <v>4327</v>
      </c>
      <c r="K343" s="141">
        <v>2113</v>
      </c>
      <c r="L343" s="141">
        <v>1</v>
      </c>
      <c r="M343" s="141">
        <v>0</v>
      </c>
      <c r="N343" s="141">
        <v>36000</v>
      </c>
      <c r="O343" s="141" t="s">
        <v>4380</v>
      </c>
      <c r="P343" s="141" t="s">
        <v>4520</v>
      </c>
    </row>
    <row r="344" spans="1:16" ht="25.5">
      <c r="A344" s="141">
        <v>76807</v>
      </c>
      <c r="B344" s="141" t="s">
        <v>4325</v>
      </c>
      <c r="C344" s="142">
        <v>41201</v>
      </c>
      <c r="D344" s="141">
        <v>717</v>
      </c>
      <c r="E344" s="141" t="str">
        <f t="shared" si="25"/>
        <v>001</v>
      </c>
      <c r="F344" s="141" t="s">
        <v>4326</v>
      </c>
      <c r="G344" s="141" t="str">
        <f t="shared" si="29"/>
        <v>0288</v>
      </c>
      <c r="H344" s="141" t="s">
        <v>2657</v>
      </c>
      <c r="I344" s="141" t="str">
        <f t="shared" si="27"/>
        <v>999</v>
      </c>
      <c r="J344" s="141" t="s">
        <v>4327</v>
      </c>
      <c r="K344" s="141">
        <v>2114</v>
      </c>
      <c r="L344" s="141">
        <v>1</v>
      </c>
      <c r="M344" s="141">
        <v>0</v>
      </c>
      <c r="N344" s="141">
        <v>2000</v>
      </c>
      <c r="O344" s="141" t="s">
        <v>4521</v>
      </c>
      <c r="P344" s="141" t="s">
        <v>4522</v>
      </c>
    </row>
    <row r="345" spans="1:16" ht="25.5">
      <c r="A345" s="141">
        <v>76807</v>
      </c>
      <c r="B345" s="141" t="s">
        <v>4325</v>
      </c>
      <c r="C345" s="142">
        <v>41201</v>
      </c>
      <c r="D345" s="141">
        <v>717</v>
      </c>
      <c r="E345" s="141" t="str">
        <f t="shared" si="25"/>
        <v>001</v>
      </c>
      <c r="F345" s="141" t="s">
        <v>4326</v>
      </c>
      <c r="G345" s="141" t="str">
        <f t="shared" si="29"/>
        <v>0288</v>
      </c>
      <c r="H345" s="141" t="s">
        <v>2657</v>
      </c>
      <c r="I345" s="141" t="str">
        <f t="shared" si="27"/>
        <v>999</v>
      </c>
      <c r="J345" s="141" t="s">
        <v>4327</v>
      </c>
      <c r="K345" s="141">
        <v>2115</v>
      </c>
      <c r="L345" s="141">
        <v>1</v>
      </c>
      <c r="M345" s="141">
        <v>0</v>
      </c>
      <c r="N345" s="141">
        <v>1000</v>
      </c>
      <c r="O345" s="141" t="s">
        <v>4521</v>
      </c>
      <c r="P345" s="141" t="s">
        <v>4523</v>
      </c>
    </row>
    <row r="346" spans="1:16" ht="25.5">
      <c r="A346" s="141">
        <v>76807</v>
      </c>
      <c r="B346" s="141" t="s">
        <v>4325</v>
      </c>
      <c r="C346" s="142">
        <v>41201</v>
      </c>
      <c r="D346" s="141">
        <v>717</v>
      </c>
      <c r="E346" s="141" t="str">
        <f t="shared" si="25"/>
        <v>001</v>
      </c>
      <c r="F346" s="141" t="s">
        <v>4326</v>
      </c>
      <c r="G346" s="141" t="str">
        <f t="shared" si="29"/>
        <v>0288</v>
      </c>
      <c r="H346" s="141" t="s">
        <v>2657</v>
      </c>
      <c r="I346" s="141" t="str">
        <f t="shared" si="27"/>
        <v>999</v>
      </c>
      <c r="J346" s="141" t="s">
        <v>4327</v>
      </c>
      <c r="K346" s="141">
        <v>2116</v>
      </c>
      <c r="L346" s="141">
        <v>1</v>
      </c>
      <c r="M346" s="141">
        <v>0</v>
      </c>
      <c r="N346" s="141">
        <v>9000</v>
      </c>
      <c r="O346" s="141" t="s">
        <v>4364</v>
      </c>
      <c r="P346" s="141" t="s">
        <v>4524</v>
      </c>
    </row>
    <row r="347" spans="1:16" ht="25.5">
      <c r="A347" s="141">
        <v>76807</v>
      </c>
      <c r="B347" s="141" t="s">
        <v>4325</v>
      </c>
      <c r="C347" s="142">
        <v>41201</v>
      </c>
      <c r="D347" s="141">
        <v>717</v>
      </c>
      <c r="E347" s="141" t="str">
        <f t="shared" si="25"/>
        <v>001</v>
      </c>
      <c r="F347" s="141" t="s">
        <v>4326</v>
      </c>
      <c r="G347" s="141" t="str">
        <f t="shared" si="29"/>
        <v>0288</v>
      </c>
      <c r="H347" s="141" t="s">
        <v>2657</v>
      </c>
      <c r="I347" s="141" t="str">
        <f t="shared" si="27"/>
        <v>999</v>
      </c>
      <c r="J347" s="141" t="s">
        <v>4327</v>
      </c>
      <c r="K347" s="141">
        <v>2117</v>
      </c>
      <c r="L347" s="141">
        <v>1</v>
      </c>
      <c r="M347" s="141">
        <v>0</v>
      </c>
      <c r="N347" s="141">
        <v>8000</v>
      </c>
      <c r="O347" s="141" t="s">
        <v>4525</v>
      </c>
      <c r="P347" s="141"/>
    </row>
    <row r="348" spans="1:16" ht="25.5">
      <c r="A348" s="141">
        <v>76807</v>
      </c>
      <c r="B348" s="141" t="s">
        <v>4325</v>
      </c>
      <c r="C348" s="142">
        <v>41201</v>
      </c>
      <c r="D348" s="141">
        <v>717</v>
      </c>
      <c r="E348" s="141" t="str">
        <f t="shared" si="25"/>
        <v>001</v>
      </c>
      <c r="F348" s="141" t="s">
        <v>4326</v>
      </c>
      <c r="G348" s="141" t="str">
        <f t="shared" si="29"/>
        <v>0288</v>
      </c>
      <c r="H348" s="141" t="s">
        <v>2657</v>
      </c>
      <c r="I348" s="141" t="str">
        <f t="shared" si="27"/>
        <v>999</v>
      </c>
      <c r="J348" s="141" t="s">
        <v>4327</v>
      </c>
      <c r="K348" s="141">
        <v>2118</v>
      </c>
      <c r="L348" s="141">
        <v>1</v>
      </c>
      <c r="M348" s="141">
        <v>0</v>
      </c>
      <c r="N348" s="141">
        <v>26000</v>
      </c>
      <c r="O348" s="141" t="s">
        <v>4368</v>
      </c>
      <c r="P348" s="141"/>
    </row>
    <row r="349" spans="1:16" ht="25.5">
      <c r="A349" s="141">
        <v>76807</v>
      </c>
      <c r="B349" s="141" t="s">
        <v>4325</v>
      </c>
      <c r="C349" s="142">
        <v>41201</v>
      </c>
      <c r="D349" s="141">
        <v>717</v>
      </c>
      <c r="E349" s="141" t="str">
        <f t="shared" si="25"/>
        <v>001</v>
      </c>
      <c r="F349" s="141" t="s">
        <v>4326</v>
      </c>
      <c r="G349" s="141" t="str">
        <f t="shared" si="29"/>
        <v>0288</v>
      </c>
      <c r="H349" s="141" t="s">
        <v>2657</v>
      </c>
      <c r="I349" s="141" t="str">
        <f t="shared" si="27"/>
        <v>999</v>
      </c>
      <c r="J349" s="141" t="s">
        <v>4327</v>
      </c>
      <c r="K349" s="141">
        <v>2119</v>
      </c>
      <c r="L349" s="141">
        <v>1</v>
      </c>
      <c r="M349" s="141">
        <v>0</v>
      </c>
      <c r="N349" s="141">
        <v>1000</v>
      </c>
      <c r="O349" s="141" t="s">
        <v>4381</v>
      </c>
      <c r="P349" s="141"/>
    </row>
    <row r="350" spans="1:16" ht="25.5">
      <c r="A350" s="141">
        <v>76807</v>
      </c>
      <c r="B350" s="141" t="s">
        <v>4325</v>
      </c>
      <c r="C350" s="142">
        <v>41201</v>
      </c>
      <c r="D350" s="141">
        <v>717</v>
      </c>
      <c r="E350" s="141" t="str">
        <f t="shared" si="25"/>
        <v>001</v>
      </c>
      <c r="F350" s="141" t="s">
        <v>4326</v>
      </c>
      <c r="G350" s="141" t="str">
        <f t="shared" si="29"/>
        <v>0288</v>
      </c>
      <c r="H350" s="141" t="s">
        <v>2657</v>
      </c>
      <c r="I350" s="141" t="str">
        <f t="shared" si="27"/>
        <v>999</v>
      </c>
      <c r="J350" s="141" t="s">
        <v>4327</v>
      </c>
      <c r="K350" s="141">
        <v>2120</v>
      </c>
      <c r="L350" s="141">
        <v>9</v>
      </c>
      <c r="M350" s="141">
        <v>0</v>
      </c>
      <c r="N350" s="141">
        <v>6000</v>
      </c>
      <c r="O350" s="141" t="s">
        <v>4343</v>
      </c>
      <c r="P350" s="141"/>
    </row>
    <row r="351" spans="1:16" ht="25.5">
      <c r="A351" s="141">
        <v>76807</v>
      </c>
      <c r="B351" s="141" t="s">
        <v>4325</v>
      </c>
      <c r="C351" s="142">
        <v>41201</v>
      </c>
      <c r="D351" s="141">
        <v>717</v>
      </c>
      <c r="E351" s="141" t="str">
        <f t="shared" si="25"/>
        <v>001</v>
      </c>
      <c r="F351" s="141" t="s">
        <v>4326</v>
      </c>
      <c r="G351" s="141" t="str">
        <f t="shared" si="29"/>
        <v>0288</v>
      </c>
      <c r="H351" s="141" t="s">
        <v>2657</v>
      </c>
      <c r="I351" s="141" t="str">
        <f t="shared" si="27"/>
        <v>999</v>
      </c>
      <c r="J351" s="141" t="s">
        <v>4327</v>
      </c>
      <c r="K351" s="141">
        <v>2121</v>
      </c>
      <c r="L351" s="141">
        <v>2</v>
      </c>
      <c r="M351" s="141">
        <v>0</v>
      </c>
      <c r="N351" s="141">
        <v>6000</v>
      </c>
      <c r="O351" s="141" t="s">
        <v>4526</v>
      </c>
      <c r="P351" s="141"/>
    </row>
    <row r="352" spans="1:16" ht="25.5">
      <c r="A352" s="141">
        <v>76807</v>
      </c>
      <c r="B352" s="141" t="s">
        <v>4325</v>
      </c>
      <c r="C352" s="142">
        <v>41201</v>
      </c>
      <c r="D352" s="141">
        <v>717</v>
      </c>
      <c r="E352" s="141" t="str">
        <f t="shared" si="25"/>
        <v>001</v>
      </c>
      <c r="F352" s="141" t="s">
        <v>4326</v>
      </c>
      <c r="G352" s="141" t="str">
        <f t="shared" si="29"/>
        <v>0288</v>
      </c>
      <c r="H352" s="141" t="s">
        <v>2657</v>
      </c>
      <c r="I352" s="141" t="str">
        <f t="shared" si="27"/>
        <v>999</v>
      </c>
      <c r="J352" s="141" t="s">
        <v>4327</v>
      </c>
      <c r="K352" s="141">
        <v>2122</v>
      </c>
      <c r="L352" s="141">
        <v>1</v>
      </c>
      <c r="M352" s="141">
        <v>0</v>
      </c>
      <c r="N352" s="141">
        <v>3000</v>
      </c>
      <c r="O352" s="141" t="s">
        <v>4404</v>
      </c>
      <c r="P352" s="141"/>
    </row>
    <row r="353" spans="1:16" ht="25.5">
      <c r="A353" s="141">
        <v>76807</v>
      </c>
      <c r="B353" s="141" t="s">
        <v>4325</v>
      </c>
      <c r="C353" s="142">
        <v>41201</v>
      </c>
      <c r="D353" s="141">
        <v>717</v>
      </c>
      <c r="E353" s="141" t="str">
        <f t="shared" si="25"/>
        <v>001</v>
      </c>
      <c r="F353" s="141" t="s">
        <v>4326</v>
      </c>
      <c r="G353" s="141" t="str">
        <f t="shared" si="29"/>
        <v>0288</v>
      </c>
      <c r="H353" s="141" t="s">
        <v>2657</v>
      </c>
      <c r="I353" s="141" t="str">
        <f t="shared" si="27"/>
        <v>999</v>
      </c>
      <c r="J353" s="141" t="s">
        <v>4327</v>
      </c>
      <c r="K353" s="141">
        <v>2123</v>
      </c>
      <c r="L353" s="141">
        <v>1</v>
      </c>
      <c r="M353" s="141">
        <v>0</v>
      </c>
      <c r="N353" s="141">
        <v>2000</v>
      </c>
      <c r="O353" s="141" t="s">
        <v>4347</v>
      </c>
      <c r="P353" s="141"/>
    </row>
    <row r="354" spans="1:16" ht="25.5">
      <c r="A354" s="141">
        <v>76807</v>
      </c>
      <c r="B354" s="141" t="s">
        <v>4325</v>
      </c>
      <c r="C354" s="142">
        <v>41201</v>
      </c>
      <c r="D354" s="141">
        <v>424</v>
      </c>
      <c r="E354" s="141" t="str">
        <f t="shared" si="25"/>
        <v>001</v>
      </c>
      <c r="F354" s="141" t="s">
        <v>4326</v>
      </c>
      <c r="G354" s="141" t="str">
        <f>"0289"</f>
        <v>0289</v>
      </c>
      <c r="H354" s="141" t="s">
        <v>2715</v>
      </c>
      <c r="I354" s="141" t="str">
        <f t="shared" si="27"/>
        <v>999</v>
      </c>
      <c r="J354" s="141" t="s">
        <v>4327</v>
      </c>
      <c r="K354" s="141">
        <v>1206</v>
      </c>
      <c r="L354" s="141">
        <v>1</v>
      </c>
      <c r="M354" s="141">
        <v>0</v>
      </c>
      <c r="N354" s="141">
        <v>2000</v>
      </c>
      <c r="O354" s="141" t="s">
        <v>4351</v>
      </c>
      <c r="P354" s="141" t="s">
        <v>4389</v>
      </c>
    </row>
    <row r="355" spans="1:16" ht="25.5">
      <c r="A355" s="141">
        <v>76807</v>
      </c>
      <c r="B355" s="141" t="s">
        <v>4325</v>
      </c>
      <c r="C355" s="142">
        <v>41201</v>
      </c>
      <c r="D355" s="141">
        <v>424</v>
      </c>
      <c r="E355" s="141" t="str">
        <f t="shared" si="25"/>
        <v>001</v>
      </c>
      <c r="F355" s="141" t="s">
        <v>4326</v>
      </c>
      <c r="G355" s="141" t="str">
        <f>"0289"</f>
        <v>0289</v>
      </c>
      <c r="H355" s="141" t="s">
        <v>2715</v>
      </c>
      <c r="I355" s="141" t="str">
        <f t="shared" si="27"/>
        <v>999</v>
      </c>
      <c r="J355" s="141" t="s">
        <v>4327</v>
      </c>
      <c r="K355" s="141">
        <v>1207</v>
      </c>
      <c r="L355" s="141">
        <v>4</v>
      </c>
      <c r="M355" s="141">
        <v>0</v>
      </c>
      <c r="N355" s="141">
        <v>3000</v>
      </c>
      <c r="O355" s="141" t="s">
        <v>4343</v>
      </c>
      <c r="P355" s="141"/>
    </row>
    <row r="356" spans="1:16" ht="25.5">
      <c r="A356" s="141">
        <v>76807</v>
      </c>
      <c r="B356" s="141" t="s">
        <v>4325</v>
      </c>
      <c r="C356" s="142">
        <v>41201</v>
      </c>
      <c r="D356" s="141">
        <v>424</v>
      </c>
      <c r="E356" s="141" t="str">
        <f t="shared" si="25"/>
        <v>001</v>
      </c>
      <c r="F356" s="141" t="s">
        <v>4326</v>
      </c>
      <c r="G356" s="141" t="str">
        <f>"0289"</f>
        <v>0289</v>
      </c>
      <c r="H356" s="141" t="s">
        <v>2715</v>
      </c>
      <c r="I356" s="141" t="str">
        <f t="shared" si="27"/>
        <v>999</v>
      </c>
      <c r="J356" s="141" t="s">
        <v>4327</v>
      </c>
      <c r="K356" s="141">
        <v>1208</v>
      </c>
      <c r="L356" s="141">
        <v>10</v>
      </c>
      <c r="M356" s="141">
        <v>0</v>
      </c>
      <c r="N356" s="141">
        <v>6000</v>
      </c>
      <c r="O356" s="141" t="s">
        <v>4350</v>
      </c>
      <c r="P356" s="141"/>
    </row>
    <row r="357" spans="1:16" ht="25.5">
      <c r="A357" s="141">
        <v>76807</v>
      </c>
      <c r="B357" s="141" t="s">
        <v>4325</v>
      </c>
      <c r="C357" s="142">
        <v>41201</v>
      </c>
      <c r="D357" s="141">
        <v>438</v>
      </c>
      <c r="E357" s="141" t="str">
        <f t="shared" si="25"/>
        <v>001</v>
      </c>
      <c r="F357" s="141" t="s">
        <v>4326</v>
      </c>
      <c r="G357" s="141" t="str">
        <f t="shared" ref="G357:G362" si="30">"0291"</f>
        <v>0291</v>
      </c>
      <c r="H357" s="141" t="s">
        <v>1620</v>
      </c>
      <c r="I357" s="141" t="str">
        <f t="shared" si="27"/>
        <v>999</v>
      </c>
      <c r="J357" s="141" t="s">
        <v>4327</v>
      </c>
      <c r="K357" s="141">
        <v>1281</v>
      </c>
      <c r="L357" s="141">
        <v>2</v>
      </c>
      <c r="M357" s="141">
        <v>0</v>
      </c>
      <c r="N357" s="141">
        <v>1000</v>
      </c>
      <c r="O357" s="141" t="s">
        <v>4381</v>
      </c>
      <c r="P357" s="141"/>
    </row>
    <row r="358" spans="1:16" ht="25.5">
      <c r="A358" s="141">
        <v>76807</v>
      </c>
      <c r="B358" s="141" t="s">
        <v>4325</v>
      </c>
      <c r="C358" s="142">
        <v>41201</v>
      </c>
      <c r="D358" s="141">
        <v>438</v>
      </c>
      <c r="E358" s="141" t="str">
        <f t="shared" si="25"/>
        <v>001</v>
      </c>
      <c r="F358" s="141" t="s">
        <v>4326</v>
      </c>
      <c r="G358" s="141" t="str">
        <f t="shared" si="30"/>
        <v>0291</v>
      </c>
      <c r="H358" s="141" t="s">
        <v>1620</v>
      </c>
      <c r="I358" s="141" t="str">
        <f t="shared" si="27"/>
        <v>999</v>
      </c>
      <c r="J358" s="141" t="s">
        <v>4327</v>
      </c>
      <c r="K358" s="141">
        <v>1282</v>
      </c>
      <c r="L358" s="141">
        <v>4</v>
      </c>
      <c r="M358" s="141">
        <v>0</v>
      </c>
      <c r="N358" s="141">
        <v>3000</v>
      </c>
      <c r="O358" s="141" t="s">
        <v>4343</v>
      </c>
      <c r="P358" s="141"/>
    </row>
    <row r="359" spans="1:16" ht="25.5">
      <c r="A359" s="141">
        <v>76807</v>
      </c>
      <c r="B359" s="141" t="s">
        <v>4325</v>
      </c>
      <c r="C359" s="142">
        <v>41201</v>
      </c>
      <c r="D359" s="141">
        <v>438</v>
      </c>
      <c r="E359" s="141" t="str">
        <f t="shared" si="25"/>
        <v>001</v>
      </c>
      <c r="F359" s="141" t="s">
        <v>4326</v>
      </c>
      <c r="G359" s="141" t="str">
        <f t="shared" si="30"/>
        <v>0291</v>
      </c>
      <c r="H359" s="141" t="s">
        <v>1620</v>
      </c>
      <c r="I359" s="141" t="str">
        <f t="shared" si="27"/>
        <v>999</v>
      </c>
      <c r="J359" s="141" t="s">
        <v>4327</v>
      </c>
      <c r="K359" s="141">
        <v>1283</v>
      </c>
      <c r="L359" s="141">
        <v>1</v>
      </c>
      <c r="M359" s="141">
        <v>0</v>
      </c>
      <c r="N359" s="141">
        <v>2000</v>
      </c>
      <c r="O359" s="141" t="s">
        <v>4330</v>
      </c>
      <c r="P359" s="141" t="s">
        <v>4356</v>
      </c>
    </row>
    <row r="360" spans="1:16" ht="25.5">
      <c r="A360" s="141">
        <v>76807</v>
      </c>
      <c r="B360" s="141" t="s">
        <v>4325</v>
      </c>
      <c r="C360" s="142">
        <v>41201</v>
      </c>
      <c r="D360" s="141">
        <v>438</v>
      </c>
      <c r="E360" s="141" t="str">
        <f t="shared" si="25"/>
        <v>001</v>
      </c>
      <c r="F360" s="141" t="s">
        <v>4326</v>
      </c>
      <c r="G360" s="141" t="str">
        <f t="shared" si="30"/>
        <v>0291</v>
      </c>
      <c r="H360" s="141" t="s">
        <v>1620</v>
      </c>
      <c r="I360" s="141" t="str">
        <f t="shared" si="27"/>
        <v>999</v>
      </c>
      <c r="J360" s="141" t="s">
        <v>4327</v>
      </c>
      <c r="K360" s="141">
        <v>1284</v>
      </c>
      <c r="L360" s="141">
        <v>1</v>
      </c>
      <c r="M360" s="141">
        <v>0</v>
      </c>
      <c r="N360" s="141">
        <v>112000</v>
      </c>
      <c r="O360" s="141" t="s">
        <v>4366</v>
      </c>
      <c r="P360" s="141" t="s">
        <v>4367</v>
      </c>
    </row>
    <row r="361" spans="1:16" ht="25.5">
      <c r="A361" s="141">
        <v>76807</v>
      </c>
      <c r="B361" s="141" t="s">
        <v>4325</v>
      </c>
      <c r="C361" s="142">
        <v>41201</v>
      </c>
      <c r="D361" s="141">
        <v>438</v>
      </c>
      <c r="E361" s="141" t="str">
        <f t="shared" si="25"/>
        <v>001</v>
      </c>
      <c r="F361" s="141" t="s">
        <v>4326</v>
      </c>
      <c r="G361" s="141" t="str">
        <f t="shared" si="30"/>
        <v>0291</v>
      </c>
      <c r="H361" s="141" t="s">
        <v>1620</v>
      </c>
      <c r="I361" s="141" t="str">
        <f t="shared" si="27"/>
        <v>999</v>
      </c>
      <c r="J361" s="141" t="s">
        <v>4327</v>
      </c>
      <c r="K361" s="141">
        <v>1285</v>
      </c>
      <c r="L361" s="141">
        <v>6</v>
      </c>
      <c r="M361" s="141">
        <v>0</v>
      </c>
      <c r="N361" s="141">
        <v>13000</v>
      </c>
      <c r="O361" s="141" t="s">
        <v>4408</v>
      </c>
      <c r="P361" s="141"/>
    </row>
    <row r="362" spans="1:16" ht="25.5">
      <c r="A362" s="141">
        <v>76807</v>
      </c>
      <c r="B362" s="141" t="s">
        <v>4325</v>
      </c>
      <c r="C362" s="142">
        <v>41201</v>
      </c>
      <c r="D362" s="141">
        <v>438</v>
      </c>
      <c r="E362" s="141" t="str">
        <f t="shared" si="25"/>
        <v>001</v>
      </c>
      <c r="F362" s="141" t="s">
        <v>4326</v>
      </c>
      <c r="G362" s="141" t="str">
        <f t="shared" si="30"/>
        <v>0291</v>
      </c>
      <c r="H362" s="141" t="s">
        <v>1620</v>
      </c>
      <c r="I362" s="141" t="str">
        <f t="shared" si="27"/>
        <v>999</v>
      </c>
      <c r="J362" s="141" t="s">
        <v>4327</v>
      </c>
      <c r="K362" s="141">
        <v>1286</v>
      </c>
      <c r="L362" s="141">
        <v>1</v>
      </c>
      <c r="M362" s="141">
        <v>0</v>
      </c>
      <c r="N362" s="141">
        <v>1000</v>
      </c>
      <c r="O362" s="141" t="s">
        <v>4337</v>
      </c>
      <c r="P362" s="141" t="s">
        <v>4527</v>
      </c>
    </row>
    <row r="363" spans="1:16" ht="25.5">
      <c r="A363" s="141">
        <v>76807</v>
      </c>
      <c r="B363" s="141" t="s">
        <v>4325</v>
      </c>
      <c r="C363" s="142">
        <v>41201</v>
      </c>
      <c r="D363" s="141">
        <v>400</v>
      </c>
      <c r="E363" s="141" t="str">
        <f t="shared" si="25"/>
        <v>001</v>
      </c>
      <c r="F363" s="141" t="s">
        <v>4326</v>
      </c>
      <c r="G363" s="141" t="str">
        <f>"0292"</f>
        <v>0292</v>
      </c>
      <c r="H363" s="141" t="s">
        <v>1621</v>
      </c>
      <c r="I363" s="141" t="str">
        <f t="shared" si="27"/>
        <v>999</v>
      </c>
      <c r="J363" s="141" t="s">
        <v>4327</v>
      </c>
      <c r="K363" s="141">
        <v>1067</v>
      </c>
      <c r="L363" s="141">
        <v>1</v>
      </c>
      <c r="M363" s="141">
        <v>0</v>
      </c>
      <c r="N363" s="141">
        <v>1000</v>
      </c>
      <c r="O363" s="141" t="s">
        <v>4343</v>
      </c>
      <c r="P363" s="141"/>
    </row>
    <row r="364" spans="1:16" ht="25.5">
      <c r="A364" s="141">
        <v>76807</v>
      </c>
      <c r="B364" s="141" t="s">
        <v>4325</v>
      </c>
      <c r="C364" s="142">
        <v>41201</v>
      </c>
      <c r="D364" s="141">
        <v>400</v>
      </c>
      <c r="E364" s="141" t="str">
        <f t="shared" si="25"/>
        <v>001</v>
      </c>
      <c r="F364" s="141" t="s">
        <v>4326</v>
      </c>
      <c r="G364" s="141" t="str">
        <f>"0292"</f>
        <v>0292</v>
      </c>
      <c r="H364" s="141" t="s">
        <v>1621</v>
      </c>
      <c r="I364" s="141" t="str">
        <f t="shared" si="27"/>
        <v>999</v>
      </c>
      <c r="J364" s="141" t="s">
        <v>4327</v>
      </c>
      <c r="K364" s="141">
        <v>1068</v>
      </c>
      <c r="L364" s="141">
        <v>2</v>
      </c>
      <c r="M364" s="141">
        <v>0</v>
      </c>
      <c r="N364" s="141">
        <v>1000</v>
      </c>
      <c r="O364" s="141" t="s">
        <v>4350</v>
      </c>
      <c r="P364" s="141"/>
    </row>
    <row r="365" spans="1:16" ht="25.5">
      <c r="A365" s="141">
        <v>76807</v>
      </c>
      <c r="B365" s="141" t="s">
        <v>4325</v>
      </c>
      <c r="C365" s="142">
        <v>41201</v>
      </c>
      <c r="D365" s="141">
        <v>748</v>
      </c>
      <c r="E365" s="141" t="str">
        <f t="shared" si="25"/>
        <v>001</v>
      </c>
      <c r="F365" s="141" t="s">
        <v>4326</v>
      </c>
      <c r="G365" s="141" t="str">
        <f t="shared" ref="G365:G373" si="31">"0294"</f>
        <v>0294</v>
      </c>
      <c r="H365" s="141" t="s">
        <v>2642</v>
      </c>
      <c r="I365" s="141" t="str">
        <f t="shared" si="27"/>
        <v>999</v>
      </c>
      <c r="J365" s="141" t="s">
        <v>4327</v>
      </c>
      <c r="K365" s="141">
        <v>2490</v>
      </c>
      <c r="L365" s="141">
        <v>1</v>
      </c>
      <c r="M365" s="141">
        <v>0</v>
      </c>
      <c r="N365" s="141">
        <v>8000</v>
      </c>
      <c r="O365" s="141" t="s">
        <v>4351</v>
      </c>
      <c r="P365" s="141" t="s">
        <v>4528</v>
      </c>
    </row>
    <row r="366" spans="1:16" ht="25.5">
      <c r="A366" s="141">
        <v>76807</v>
      </c>
      <c r="B366" s="141" t="s">
        <v>4325</v>
      </c>
      <c r="C366" s="142">
        <v>41201</v>
      </c>
      <c r="D366" s="141">
        <v>748</v>
      </c>
      <c r="E366" s="141" t="str">
        <f t="shared" si="25"/>
        <v>001</v>
      </c>
      <c r="F366" s="141" t="s">
        <v>4326</v>
      </c>
      <c r="G366" s="141" t="str">
        <f t="shared" si="31"/>
        <v>0294</v>
      </c>
      <c r="H366" s="141" t="s">
        <v>2642</v>
      </c>
      <c r="I366" s="141" t="str">
        <f t="shared" si="27"/>
        <v>999</v>
      </c>
      <c r="J366" s="141" t="s">
        <v>4327</v>
      </c>
      <c r="K366" s="141">
        <v>2491</v>
      </c>
      <c r="L366" s="141">
        <v>1</v>
      </c>
      <c r="M366" s="141">
        <v>0</v>
      </c>
      <c r="N366" s="141">
        <v>8000</v>
      </c>
      <c r="O366" s="141" t="s">
        <v>4337</v>
      </c>
      <c r="P366" s="141" t="s">
        <v>4423</v>
      </c>
    </row>
    <row r="367" spans="1:16" ht="25.5">
      <c r="A367" s="141">
        <v>76807</v>
      </c>
      <c r="B367" s="141" t="s">
        <v>4325</v>
      </c>
      <c r="C367" s="142">
        <v>41201</v>
      </c>
      <c r="D367" s="141">
        <v>748</v>
      </c>
      <c r="E367" s="141" t="str">
        <f t="shared" si="25"/>
        <v>001</v>
      </c>
      <c r="F367" s="141" t="s">
        <v>4326</v>
      </c>
      <c r="G367" s="141" t="str">
        <f t="shared" si="31"/>
        <v>0294</v>
      </c>
      <c r="H367" s="141" t="s">
        <v>2642</v>
      </c>
      <c r="I367" s="141" t="str">
        <f t="shared" si="27"/>
        <v>999</v>
      </c>
      <c r="J367" s="141" t="s">
        <v>4327</v>
      </c>
      <c r="K367" s="141">
        <v>2492</v>
      </c>
      <c r="L367" s="141">
        <v>1</v>
      </c>
      <c r="M367" s="141">
        <v>0</v>
      </c>
      <c r="N367" s="141">
        <v>4000</v>
      </c>
      <c r="O367" s="141" t="s">
        <v>4330</v>
      </c>
      <c r="P367" s="141" t="s">
        <v>4348</v>
      </c>
    </row>
    <row r="368" spans="1:16" ht="25.5">
      <c r="A368" s="141">
        <v>76807</v>
      </c>
      <c r="B368" s="141" t="s">
        <v>4325</v>
      </c>
      <c r="C368" s="142">
        <v>41201</v>
      </c>
      <c r="D368" s="141">
        <v>748</v>
      </c>
      <c r="E368" s="141" t="str">
        <f t="shared" si="25"/>
        <v>001</v>
      </c>
      <c r="F368" s="141" t="s">
        <v>4326</v>
      </c>
      <c r="G368" s="141" t="str">
        <f t="shared" si="31"/>
        <v>0294</v>
      </c>
      <c r="H368" s="141" t="s">
        <v>2642</v>
      </c>
      <c r="I368" s="141" t="str">
        <f t="shared" si="27"/>
        <v>999</v>
      </c>
      <c r="J368" s="141" t="s">
        <v>4327</v>
      </c>
      <c r="K368" s="141">
        <v>2493</v>
      </c>
      <c r="L368" s="141">
        <v>3</v>
      </c>
      <c r="M368" s="141">
        <v>0</v>
      </c>
      <c r="N368" s="141">
        <v>9000</v>
      </c>
      <c r="O368" s="141" t="s">
        <v>4334</v>
      </c>
      <c r="P368" s="141" t="s">
        <v>4361</v>
      </c>
    </row>
    <row r="369" spans="1:16" ht="25.5">
      <c r="A369" s="141">
        <v>76807</v>
      </c>
      <c r="B369" s="141" t="s">
        <v>4325</v>
      </c>
      <c r="C369" s="142">
        <v>41201</v>
      </c>
      <c r="D369" s="141">
        <v>748</v>
      </c>
      <c r="E369" s="141" t="str">
        <f t="shared" si="25"/>
        <v>001</v>
      </c>
      <c r="F369" s="141" t="s">
        <v>4326</v>
      </c>
      <c r="G369" s="141" t="str">
        <f t="shared" si="31"/>
        <v>0294</v>
      </c>
      <c r="H369" s="141" t="s">
        <v>2642</v>
      </c>
      <c r="I369" s="141" t="str">
        <f t="shared" si="27"/>
        <v>999</v>
      </c>
      <c r="J369" s="141" t="s">
        <v>4327</v>
      </c>
      <c r="K369" s="141">
        <v>2494</v>
      </c>
      <c r="L369" s="141">
        <v>1</v>
      </c>
      <c r="M369" s="141">
        <v>0</v>
      </c>
      <c r="N369" s="141">
        <v>9000</v>
      </c>
      <c r="O369" s="141" t="s">
        <v>4399</v>
      </c>
      <c r="P369" s="141" t="s">
        <v>4529</v>
      </c>
    </row>
    <row r="370" spans="1:16" ht="25.5">
      <c r="A370" s="141">
        <v>76807</v>
      </c>
      <c r="B370" s="141" t="s">
        <v>4325</v>
      </c>
      <c r="C370" s="142">
        <v>41201</v>
      </c>
      <c r="D370" s="141">
        <v>748</v>
      </c>
      <c r="E370" s="141" t="str">
        <f t="shared" si="25"/>
        <v>001</v>
      </c>
      <c r="F370" s="141" t="s">
        <v>4326</v>
      </c>
      <c r="G370" s="141" t="str">
        <f t="shared" si="31"/>
        <v>0294</v>
      </c>
      <c r="H370" s="141" t="s">
        <v>2642</v>
      </c>
      <c r="I370" s="141" t="str">
        <f t="shared" si="27"/>
        <v>999</v>
      </c>
      <c r="J370" s="141" t="s">
        <v>4327</v>
      </c>
      <c r="K370" s="141">
        <v>2495</v>
      </c>
      <c r="L370" s="141">
        <v>1</v>
      </c>
      <c r="M370" s="141">
        <v>0</v>
      </c>
      <c r="N370" s="141">
        <v>5000</v>
      </c>
      <c r="O370" s="141" t="s">
        <v>4397</v>
      </c>
      <c r="P370" s="141" t="s">
        <v>4530</v>
      </c>
    </row>
    <row r="371" spans="1:16" ht="25.5">
      <c r="A371" s="141">
        <v>76807</v>
      </c>
      <c r="B371" s="141" t="s">
        <v>4325</v>
      </c>
      <c r="C371" s="142">
        <v>41201</v>
      </c>
      <c r="D371" s="141">
        <v>748</v>
      </c>
      <c r="E371" s="141" t="str">
        <f t="shared" si="25"/>
        <v>001</v>
      </c>
      <c r="F371" s="141" t="s">
        <v>4326</v>
      </c>
      <c r="G371" s="141" t="str">
        <f t="shared" si="31"/>
        <v>0294</v>
      </c>
      <c r="H371" s="141" t="s">
        <v>2642</v>
      </c>
      <c r="I371" s="141" t="str">
        <f t="shared" si="27"/>
        <v>999</v>
      </c>
      <c r="J371" s="141" t="s">
        <v>4327</v>
      </c>
      <c r="K371" s="141">
        <v>2496</v>
      </c>
      <c r="L371" s="141">
        <v>1</v>
      </c>
      <c r="M371" s="141">
        <v>0</v>
      </c>
      <c r="N371" s="141">
        <v>9000</v>
      </c>
      <c r="O371" s="141" t="s">
        <v>4399</v>
      </c>
      <c r="P371" s="141" t="s">
        <v>4529</v>
      </c>
    </row>
    <row r="372" spans="1:16" ht="25.5">
      <c r="A372" s="141">
        <v>76807</v>
      </c>
      <c r="B372" s="141" t="s">
        <v>4325</v>
      </c>
      <c r="C372" s="142">
        <v>41201</v>
      </c>
      <c r="D372" s="141">
        <v>748</v>
      </c>
      <c r="E372" s="141" t="str">
        <f t="shared" si="25"/>
        <v>001</v>
      </c>
      <c r="F372" s="141" t="s">
        <v>4326</v>
      </c>
      <c r="G372" s="141" t="str">
        <f t="shared" si="31"/>
        <v>0294</v>
      </c>
      <c r="H372" s="141" t="s">
        <v>2642</v>
      </c>
      <c r="I372" s="141" t="str">
        <f t="shared" si="27"/>
        <v>999</v>
      </c>
      <c r="J372" s="141" t="s">
        <v>4327</v>
      </c>
      <c r="K372" s="141">
        <v>2497</v>
      </c>
      <c r="L372" s="141">
        <v>1</v>
      </c>
      <c r="M372" s="141">
        <v>0</v>
      </c>
      <c r="N372" s="141">
        <v>9000</v>
      </c>
      <c r="O372" s="141" t="s">
        <v>4399</v>
      </c>
      <c r="P372" s="141" t="s">
        <v>4529</v>
      </c>
    </row>
    <row r="373" spans="1:16" ht="25.5">
      <c r="A373" s="141">
        <v>76807</v>
      </c>
      <c r="B373" s="141" t="s">
        <v>4325</v>
      </c>
      <c r="C373" s="142">
        <v>41201</v>
      </c>
      <c r="D373" s="141">
        <v>748</v>
      </c>
      <c r="E373" s="141" t="str">
        <f t="shared" si="25"/>
        <v>001</v>
      </c>
      <c r="F373" s="141" t="s">
        <v>4326</v>
      </c>
      <c r="G373" s="141" t="str">
        <f t="shared" si="31"/>
        <v>0294</v>
      </c>
      <c r="H373" s="141" t="s">
        <v>2642</v>
      </c>
      <c r="I373" s="141" t="str">
        <f t="shared" si="27"/>
        <v>999</v>
      </c>
      <c r="J373" s="141" t="s">
        <v>4327</v>
      </c>
      <c r="K373" s="141">
        <v>2498</v>
      </c>
      <c r="L373" s="141">
        <v>6</v>
      </c>
      <c r="M373" s="141">
        <v>0</v>
      </c>
      <c r="N373" s="141">
        <v>3000</v>
      </c>
      <c r="O373" s="141" t="s">
        <v>4350</v>
      </c>
      <c r="P373" s="141"/>
    </row>
    <row r="374" spans="1:16" ht="25.5">
      <c r="A374" s="141">
        <v>76807</v>
      </c>
      <c r="B374" s="141" t="s">
        <v>4325</v>
      </c>
      <c r="C374" s="142">
        <v>41201</v>
      </c>
      <c r="D374" s="141">
        <v>1266</v>
      </c>
      <c r="E374" s="141" t="str">
        <f t="shared" si="25"/>
        <v>001</v>
      </c>
      <c r="F374" s="141" t="s">
        <v>4326</v>
      </c>
      <c r="G374" s="141" t="str">
        <f>"0295"</f>
        <v>0295</v>
      </c>
      <c r="H374" s="141" t="s">
        <v>3706</v>
      </c>
      <c r="I374" s="141" t="str">
        <f t="shared" si="27"/>
        <v>999</v>
      </c>
      <c r="J374" s="141" t="s">
        <v>4327</v>
      </c>
      <c r="K374" s="141">
        <v>3376</v>
      </c>
      <c r="L374" s="141">
        <v>1</v>
      </c>
      <c r="M374" s="141">
        <v>0</v>
      </c>
      <c r="N374" s="141">
        <v>244000</v>
      </c>
      <c r="O374" s="141" t="s">
        <v>4327</v>
      </c>
      <c r="P374" s="141"/>
    </row>
    <row r="375" spans="1:16" ht="25.5">
      <c r="A375" s="141">
        <v>76807</v>
      </c>
      <c r="B375" s="141" t="s">
        <v>4325</v>
      </c>
      <c r="C375" s="142">
        <v>41201</v>
      </c>
      <c r="D375" s="141">
        <v>345</v>
      </c>
      <c r="E375" s="141" t="str">
        <f t="shared" si="25"/>
        <v>001</v>
      </c>
      <c r="F375" s="141" t="s">
        <v>4326</v>
      </c>
      <c r="G375" s="141" t="str">
        <f t="shared" ref="G375:G390" si="32">"0297"</f>
        <v>0297</v>
      </c>
      <c r="H375" s="141" t="s">
        <v>2497</v>
      </c>
      <c r="I375" s="141" t="str">
        <f t="shared" si="27"/>
        <v>999</v>
      </c>
      <c r="J375" s="141" t="s">
        <v>4327</v>
      </c>
      <c r="K375" s="141">
        <v>568</v>
      </c>
      <c r="L375" s="141">
        <v>1</v>
      </c>
      <c r="M375" s="141">
        <v>0</v>
      </c>
      <c r="N375" s="141">
        <v>47000</v>
      </c>
      <c r="O375" s="141" t="s">
        <v>4420</v>
      </c>
      <c r="P375" s="141" t="s">
        <v>4531</v>
      </c>
    </row>
    <row r="376" spans="1:16" ht="25.5">
      <c r="A376" s="141">
        <v>76807</v>
      </c>
      <c r="B376" s="141" t="s">
        <v>4325</v>
      </c>
      <c r="C376" s="142">
        <v>41201</v>
      </c>
      <c r="D376" s="141">
        <v>345</v>
      </c>
      <c r="E376" s="141" t="str">
        <f t="shared" si="25"/>
        <v>001</v>
      </c>
      <c r="F376" s="141" t="s">
        <v>4326</v>
      </c>
      <c r="G376" s="141" t="str">
        <f t="shared" si="32"/>
        <v>0297</v>
      </c>
      <c r="H376" s="141" t="s">
        <v>2497</v>
      </c>
      <c r="I376" s="141" t="str">
        <f t="shared" si="27"/>
        <v>999</v>
      </c>
      <c r="J376" s="141" t="s">
        <v>4327</v>
      </c>
      <c r="K376" s="141">
        <v>569</v>
      </c>
      <c r="L376" s="141">
        <v>10</v>
      </c>
      <c r="M376" s="141">
        <v>0</v>
      </c>
      <c r="N376" s="141">
        <v>23000</v>
      </c>
      <c r="O376" s="141" t="s">
        <v>4334</v>
      </c>
      <c r="P376" s="141" t="s">
        <v>4340</v>
      </c>
    </row>
    <row r="377" spans="1:16" ht="25.5">
      <c r="A377" s="141">
        <v>76807</v>
      </c>
      <c r="B377" s="141" t="s">
        <v>4325</v>
      </c>
      <c r="C377" s="142">
        <v>41201</v>
      </c>
      <c r="D377" s="141">
        <v>345</v>
      </c>
      <c r="E377" s="141" t="str">
        <f t="shared" si="25"/>
        <v>001</v>
      </c>
      <c r="F377" s="141" t="s">
        <v>4326</v>
      </c>
      <c r="G377" s="141" t="str">
        <f t="shared" si="32"/>
        <v>0297</v>
      </c>
      <c r="H377" s="141" t="s">
        <v>2497</v>
      </c>
      <c r="I377" s="141" t="str">
        <f t="shared" si="27"/>
        <v>999</v>
      </c>
      <c r="J377" s="141" t="s">
        <v>4327</v>
      </c>
      <c r="K377" s="141">
        <v>570</v>
      </c>
      <c r="L377" s="141">
        <v>1</v>
      </c>
      <c r="M377" s="141">
        <v>0</v>
      </c>
      <c r="N377" s="141">
        <v>952000</v>
      </c>
      <c r="O377" s="141" t="s">
        <v>4366</v>
      </c>
      <c r="P377" s="141" t="s">
        <v>4532</v>
      </c>
    </row>
    <row r="378" spans="1:16" ht="25.5">
      <c r="A378" s="141">
        <v>76807</v>
      </c>
      <c r="B378" s="141" t="s">
        <v>4325</v>
      </c>
      <c r="C378" s="142">
        <v>41201</v>
      </c>
      <c r="D378" s="141">
        <v>345</v>
      </c>
      <c r="E378" s="141" t="str">
        <f t="shared" si="25"/>
        <v>001</v>
      </c>
      <c r="F378" s="141" t="s">
        <v>4326</v>
      </c>
      <c r="G378" s="141" t="str">
        <f t="shared" si="32"/>
        <v>0297</v>
      </c>
      <c r="H378" s="141" t="s">
        <v>2497</v>
      </c>
      <c r="I378" s="141" t="str">
        <f t="shared" si="27"/>
        <v>999</v>
      </c>
      <c r="J378" s="141" t="s">
        <v>4327</v>
      </c>
      <c r="K378" s="141">
        <v>571</v>
      </c>
      <c r="L378" s="141">
        <v>1</v>
      </c>
      <c r="M378" s="141">
        <v>0</v>
      </c>
      <c r="N378" s="141">
        <v>15000</v>
      </c>
      <c r="O378" s="141" t="s">
        <v>4399</v>
      </c>
      <c r="P378" s="141" t="s">
        <v>4533</v>
      </c>
    </row>
    <row r="379" spans="1:16" ht="25.5">
      <c r="A379" s="141">
        <v>76807</v>
      </c>
      <c r="B379" s="141" t="s">
        <v>4325</v>
      </c>
      <c r="C379" s="142">
        <v>41201</v>
      </c>
      <c r="D379" s="141">
        <v>345</v>
      </c>
      <c r="E379" s="141" t="str">
        <f t="shared" si="25"/>
        <v>001</v>
      </c>
      <c r="F379" s="141" t="s">
        <v>4326</v>
      </c>
      <c r="G379" s="141" t="str">
        <f t="shared" si="32"/>
        <v>0297</v>
      </c>
      <c r="H379" s="141" t="s">
        <v>2497</v>
      </c>
      <c r="I379" s="141" t="str">
        <f t="shared" si="27"/>
        <v>999</v>
      </c>
      <c r="J379" s="141" t="s">
        <v>4327</v>
      </c>
      <c r="K379" s="141">
        <v>572</v>
      </c>
      <c r="L379" s="141">
        <v>1</v>
      </c>
      <c r="M379" s="141">
        <v>0</v>
      </c>
      <c r="N379" s="141">
        <v>4000</v>
      </c>
      <c r="O379" s="141" t="s">
        <v>4399</v>
      </c>
      <c r="P379" s="141" t="s">
        <v>4534</v>
      </c>
    </row>
    <row r="380" spans="1:16" ht="25.5">
      <c r="A380" s="141">
        <v>76807</v>
      </c>
      <c r="B380" s="141" t="s">
        <v>4325</v>
      </c>
      <c r="C380" s="142">
        <v>41201</v>
      </c>
      <c r="D380" s="141">
        <v>345</v>
      </c>
      <c r="E380" s="141" t="str">
        <f t="shared" si="25"/>
        <v>001</v>
      </c>
      <c r="F380" s="141" t="s">
        <v>4326</v>
      </c>
      <c r="G380" s="141" t="str">
        <f t="shared" si="32"/>
        <v>0297</v>
      </c>
      <c r="H380" s="141" t="s">
        <v>2497</v>
      </c>
      <c r="I380" s="141" t="str">
        <f t="shared" si="27"/>
        <v>999</v>
      </c>
      <c r="J380" s="141" t="s">
        <v>4327</v>
      </c>
      <c r="K380" s="141">
        <v>573</v>
      </c>
      <c r="L380" s="141">
        <v>1</v>
      </c>
      <c r="M380" s="141">
        <v>0</v>
      </c>
      <c r="N380" s="141">
        <v>8000</v>
      </c>
      <c r="O380" s="141" t="s">
        <v>4397</v>
      </c>
      <c r="P380" s="141" t="s">
        <v>4524</v>
      </c>
    </row>
    <row r="381" spans="1:16" ht="25.5">
      <c r="A381" s="141">
        <v>76807</v>
      </c>
      <c r="B381" s="141" t="s">
        <v>4325</v>
      </c>
      <c r="C381" s="142">
        <v>41201</v>
      </c>
      <c r="D381" s="141">
        <v>345</v>
      </c>
      <c r="E381" s="141" t="str">
        <f t="shared" si="25"/>
        <v>001</v>
      </c>
      <c r="F381" s="141" t="s">
        <v>4326</v>
      </c>
      <c r="G381" s="141" t="str">
        <f t="shared" si="32"/>
        <v>0297</v>
      </c>
      <c r="H381" s="141" t="s">
        <v>2497</v>
      </c>
      <c r="I381" s="141" t="str">
        <f t="shared" si="27"/>
        <v>999</v>
      </c>
      <c r="J381" s="141" t="s">
        <v>4327</v>
      </c>
      <c r="K381" s="141">
        <v>574</v>
      </c>
      <c r="L381" s="141">
        <v>1</v>
      </c>
      <c r="M381" s="141">
        <v>0</v>
      </c>
      <c r="N381" s="141">
        <v>45000</v>
      </c>
      <c r="O381" s="141" t="s">
        <v>4368</v>
      </c>
      <c r="P381" s="141"/>
    </row>
    <row r="382" spans="1:16" ht="25.5">
      <c r="A382" s="141">
        <v>76807</v>
      </c>
      <c r="B382" s="141" t="s">
        <v>4325</v>
      </c>
      <c r="C382" s="142">
        <v>41201</v>
      </c>
      <c r="D382" s="141">
        <v>345</v>
      </c>
      <c r="E382" s="141" t="str">
        <f t="shared" si="25"/>
        <v>001</v>
      </c>
      <c r="F382" s="141" t="s">
        <v>4326</v>
      </c>
      <c r="G382" s="141" t="str">
        <f t="shared" si="32"/>
        <v>0297</v>
      </c>
      <c r="H382" s="141" t="s">
        <v>2497</v>
      </c>
      <c r="I382" s="141" t="str">
        <f t="shared" si="27"/>
        <v>999</v>
      </c>
      <c r="J382" s="141" t="s">
        <v>4327</v>
      </c>
      <c r="K382" s="141">
        <v>575</v>
      </c>
      <c r="L382" s="141">
        <v>1</v>
      </c>
      <c r="M382" s="141">
        <v>0</v>
      </c>
      <c r="N382" s="141">
        <v>2000</v>
      </c>
      <c r="O382" s="141" t="s">
        <v>4345</v>
      </c>
      <c r="P382" s="141"/>
    </row>
    <row r="383" spans="1:16" ht="25.5">
      <c r="A383" s="141">
        <v>76807</v>
      </c>
      <c r="B383" s="141" t="s">
        <v>4325</v>
      </c>
      <c r="C383" s="142">
        <v>41201</v>
      </c>
      <c r="D383" s="141">
        <v>345</v>
      </c>
      <c r="E383" s="141" t="str">
        <f t="shared" si="25"/>
        <v>001</v>
      </c>
      <c r="F383" s="141" t="s">
        <v>4326</v>
      </c>
      <c r="G383" s="141" t="str">
        <f t="shared" si="32"/>
        <v>0297</v>
      </c>
      <c r="H383" s="141" t="s">
        <v>2497</v>
      </c>
      <c r="I383" s="141" t="str">
        <f t="shared" si="27"/>
        <v>999</v>
      </c>
      <c r="J383" s="141" t="s">
        <v>4327</v>
      </c>
      <c r="K383" s="141">
        <v>576</v>
      </c>
      <c r="L383" s="141">
        <v>2</v>
      </c>
      <c r="M383" s="141">
        <v>0</v>
      </c>
      <c r="N383" s="141">
        <v>3000</v>
      </c>
      <c r="O383" s="141" t="s">
        <v>4535</v>
      </c>
      <c r="P383" s="141"/>
    </row>
    <row r="384" spans="1:16" ht="25.5">
      <c r="A384" s="141">
        <v>76807</v>
      </c>
      <c r="B384" s="141" t="s">
        <v>4325</v>
      </c>
      <c r="C384" s="142">
        <v>41201</v>
      </c>
      <c r="D384" s="141">
        <v>345</v>
      </c>
      <c r="E384" s="141" t="str">
        <f t="shared" si="25"/>
        <v>001</v>
      </c>
      <c r="F384" s="141" t="s">
        <v>4326</v>
      </c>
      <c r="G384" s="141" t="str">
        <f t="shared" si="32"/>
        <v>0297</v>
      </c>
      <c r="H384" s="141" t="s">
        <v>2497</v>
      </c>
      <c r="I384" s="141" t="str">
        <f t="shared" si="27"/>
        <v>999</v>
      </c>
      <c r="J384" s="141" t="s">
        <v>4327</v>
      </c>
      <c r="K384" s="141">
        <v>577</v>
      </c>
      <c r="L384" s="141">
        <v>1</v>
      </c>
      <c r="M384" s="141">
        <v>0</v>
      </c>
      <c r="N384" s="141">
        <v>1000</v>
      </c>
      <c r="O384" s="141" t="s">
        <v>4536</v>
      </c>
      <c r="P384" s="141"/>
    </row>
    <row r="385" spans="1:16" ht="25.5">
      <c r="A385" s="141">
        <v>76807</v>
      </c>
      <c r="B385" s="141" t="s">
        <v>4325</v>
      </c>
      <c r="C385" s="142">
        <v>41201</v>
      </c>
      <c r="D385" s="141">
        <v>345</v>
      </c>
      <c r="E385" s="141" t="str">
        <f t="shared" si="25"/>
        <v>001</v>
      </c>
      <c r="F385" s="141" t="s">
        <v>4326</v>
      </c>
      <c r="G385" s="141" t="str">
        <f t="shared" si="32"/>
        <v>0297</v>
      </c>
      <c r="H385" s="141" t="s">
        <v>2497</v>
      </c>
      <c r="I385" s="141" t="str">
        <f t="shared" si="27"/>
        <v>999</v>
      </c>
      <c r="J385" s="141" t="s">
        <v>4327</v>
      </c>
      <c r="K385" s="141">
        <v>578</v>
      </c>
      <c r="L385" s="141">
        <v>3</v>
      </c>
      <c r="M385" s="141">
        <v>0</v>
      </c>
      <c r="N385" s="141">
        <v>2000</v>
      </c>
      <c r="O385" s="141" t="s">
        <v>4537</v>
      </c>
      <c r="P385" s="141"/>
    </row>
    <row r="386" spans="1:16" ht="25.5">
      <c r="A386" s="141">
        <v>76807</v>
      </c>
      <c r="B386" s="141" t="s">
        <v>4325</v>
      </c>
      <c r="C386" s="142">
        <v>41201</v>
      </c>
      <c r="D386" s="141">
        <v>345</v>
      </c>
      <c r="E386" s="141" t="str">
        <f t="shared" ref="E386:E449" si="33">"001"</f>
        <v>001</v>
      </c>
      <c r="F386" s="141" t="s">
        <v>4326</v>
      </c>
      <c r="G386" s="141" t="str">
        <f t="shared" si="32"/>
        <v>0297</v>
      </c>
      <c r="H386" s="141" t="s">
        <v>2497</v>
      </c>
      <c r="I386" s="141" t="str">
        <f t="shared" ref="I386:I449" si="34">"999"</f>
        <v>999</v>
      </c>
      <c r="J386" s="141" t="s">
        <v>4327</v>
      </c>
      <c r="K386" s="141">
        <v>579</v>
      </c>
      <c r="L386" s="141">
        <v>20</v>
      </c>
      <c r="M386" s="141">
        <v>0</v>
      </c>
      <c r="N386" s="141">
        <v>11000</v>
      </c>
      <c r="O386" s="141" t="s">
        <v>4350</v>
      </c>
      <c r="P386" s="141"/>
    </row>
    <row r="387" spans="1:16" ht="25.5">
      <c r="A387" s="141">
        <v>76807</v>
      </c>
      <c r="B387" s="141" t="s">
        <v>4325</v>
      </c>
      <c r="C387" s="142">
        <v>41201</v>
      </c>
      <c r="D387" s="141">
        <v>345</v>
      </c>
      <c r="E387" s="141" t="str">
        <f t="shared" si="33"/>
        <v>001</v>
      </c>
      <c r="F387" s="141" t="s">
        <v>4326</v>
      </c>
      <c r="G387" s="141" t="str">
        <f t="shared" si="32"/>
        <v>0297</v>
      </c>
      <c r="H387" s="141" t="s">
        <v>2497</v>
      </c>
      <c r="I387" s="141" t="str">
        <f t="shared" si="34"/>
        <v>999</v>
      </c>
      <c r="J387" s="141" t="s">
        <v>4327</v>
      </c>
      <c r="K387" s="141">
        <v>580</v>
      </c>
      <c r="L387" s="141">
        <v>25</v>
      </c>
      <c r="M387" s="141">
        <v>0</v>
      </c>
      <c r="N387" s="141">
        <v>18000</v>
      </c>
      <c r="O387" s="141" t="s">
        <v>4343</v>
      </c>
      <c r="P387" s="141"/>
    </row>
    <row r="388" spans="1:16" ht="25.5">
      <c r="A388" s="141">
        <v>76807</v>
      </c>
      <c r="B388" s="141" t="s">
        <v>4325</v>
      </c>
      <c r="C388" s="142">
        <v>41201</v>
      </c>
      <c r="D388" s="141">
        <v>345</v>
      </c>
      <c r="E388" s="141" t="str">
        <f t="shared" si="33"/>
        <v>001</v>
      </c>
      <c r="F388" s="141" t="s">
        <v>4326</v>
      </c>
      <c r="G388" s="141" t="str">
        <f t="shared" si="32"/>
        <v>0297</v>
      </c>
      <c r="H388" s="141" t="s">
        <v>2497</v>
      </c>
      <c r="I388" s="141" t="str">
        <f t="shared" si="34"/>
        <v>999</v>
      </c>
      <c r="J388" s="141" t="s">
        <v>4327</v>
      </c>
      <c r="K388" s="141">
        <v>581</v>
      </c>
      <c r="L388" s="141">
        <v>1</v>
      </c>
      <c r="M388" s="141">
        <v>0</v>
      </c>
      <c r="N388" s="141">
        <v>32000</v>
      </c>
      <c r="O388" s="141" t="s">
        <v>4369</v>
      </c>
      <c r="P388" s="141" t="s">
        <v>4538</v>
      </c>
    </row>
    <row r="389" spans="1:16" ht="25.5">
      <c r="A389" s="141">
        <v>76807</v>
      </c>
      <c r="B389" s="141" t="s">
        <v>4325</v>
      </c>
      <c r="C389" s="142">
        <v>41201</v>
      </c>
      <c r="D389" s="141">
        <v>345</v>
      </c>
      <c r="E389" s="141" t="str">
        <f t="shared" si="33"/>
        <v>001</v>
      </c>
      <c r="F389" s="141" t="s">
        <v>4326</v>
      </c>
      <c r="G389" s="141" t="str">
        <f t="shared" si="32"/>
        <v>0297</v>
      </c>
      <c r="H389" s="141" t="s">
        <v>2497</v>
      </c>
      <c r="I389" s="141" t="str">
        <f t="shared" si="34"/>
        <v>999</v>
      </c>
      <c r="J389" s="141" t="s">
        <v>4327</v>
      </c>
      <c r="K389" s="141">
        <v>582</v>
      </c>
      <c r="L389" s="141">
        <v>1</v>
      </c>
      <c r="M389" s="141">
        <v>0</v>
      </c>
      <c r="N389" s="141">
        <v>3000</v>
      </c>
      <c r="O389" s="141" t="s">
        <v>4405</v>
      </c>
      <c r="P389" s="141" t="s">
        <v>4539</v>
      </c>
    </row>
    <row r="390" spans="1:16" ht="25.5">
      <c r="A390" s="141">
        <v>76807</v>
      </c>
      <c r="B390" s="141" t="s">
        <v>4325</v>
      </c>
      <c r="C390" s="142">
        <v>41201</v>
      </c>
      <c r="D390" s="141">
        <v>345</v>
      </c>
      <c r="E390" s="141" t="str">
        <f t="shared" si="33"/>
        <v>001</v>
      </c>
      <c r="F390" s="141" t="s">
        <v>4326</v>
      </c>
      <c r="G390" s="141" t="str">
        <f t="shared" si="32"/>
        <v>0297</v>
      </c>
      <c r="H390" s="141" t="s">
        <v>2497</v>
      </c>
      <c r="I390" s="141" t="str">
        <f t="shared" si="34"/>
        <v>999</v>
      </c>
      <c r="J390" s="141" t="s">
        <v>4327</v>
      </c>
      <c r="K390" s="141">
        <v>583</v>
      </c>
      <c r="L390" s="141">
        <v>1</v>
      </c>
      <c r="M390" s="141">
        <v>0</v>
      </c>
      <c r="N390" s="141">
        <v>3000</v>
      </c>
      <c r="O390" s="141" t="s">
        <v>4405</v>
      </c>
      <c r="P390" s="141" t="s">
        <v>4539</v>
      </c>
    </row>
    <row r="391" spans="1:16" ht="25.5">
      <c r="A391" s="141">
        <v>76807</v>
      </c>
      <c r="B391" s="141" t="s">
        <v>4325</v>
      </c>
      <c r="C391" s="142">
        <v>41201</v>
      </c>
      <c r="D391" s="141">
        <v>469</v>
      </c>
      <c r="E391" s="141" t="str">
        <f t="shared" si="33"/>
        <v>001</v>
      </c>
      <c r="F391" s="141" t="s">
        <v>4326</v>
      </c>
      <c r="G391" s="141" t="str">
        <f>"0299"</f>
        <v>0299</v>
      </c>
      <c r="H391" s="141" t="s">
        <v>1623</v>
      </c>
      <c r="I391" s="141" t="str">
        <f t="shared" si="34"/>
        <v>999</v>
      </c>
      <c r="J391" s="141" t="s">
        <v>4327</v>
      </c>
      <c r="K391" s="141">
        <v>991</v>
      </c>
      <c r="L391" s="141">
        <v>4</v>
      </c>
      <c r="M391" s="141">
        <v>0</v>
      </c>
      <c r="N391" s="141">
        <v>22000</v>
      </c>
      <c r="O391" s="141" t="s">
        <v>4540</v>
      </c>
      <c r="P391" s="141"/>
    </row>
    <row r="392" spans="1:16" ht="25.5">
      <c r="A392" s="141">
        <v>76807</v>
      </c>
      <c r="B392" s="141" t="s">
        <v>4325</v>
      </c>
      <c r="C392" s="142">
        <v>41201</v>
      </c>
      <c r="D392" s="141">
        <v>469</v>
      </c>
      <c r="E392" s="141" t="str">
        <f t="shared" si="33"/>
        <v>001</v>
      </c>
      <c r="F392" s="141" t="s">
        <v>4326</v>
      </c>
      <c r="G392" s="141" t="str">
        <f>"0299"</f>
        <v>0299</v>
      </c>
      <c r="H392" s="141" t="s">
        <v>1623</v>
      </c>
      <c r="I392" s="141" t="str">
        <f t="shared" si="34"/>
        <v>999</v>
      </c>
      <c r="J392" s="141" t="s">
        <v>4327</v>
      </c>
      <c r="K392" s="141">
        <v>992</v>
      </c>
      <c r="L392" s="141">
        <v>2</v>
      </c>
      <c r="M392" s="141">
        <v>0</v>
      </c>
      <c r="N392" s="141">
        <v>1000</v>
      </c>
      <c r="O392" s="141" t="s">
        <v>4381</v>
      </c>
      <c r="P392" s="141"/>
    </row>
    <row r="393" spans="1:16" ht="25.5">
      <c r="A393" s="141">
        <v>76807</v>
      </c>
      <c r="B393" s="141" t="s">
        <v>4325</v>
      </c>
      <c r="C393" s="142">
        <v>41201</v>
      </c>
      <c r="D393" s="141">
        <v>469</v>
      </c>
      <c r="E393" s="141" t="str">
        <f t="shared" si="33"/>
        <v>001</v>
      </c>
      <c r="F393" s="141" t="s">
        <v>4326</v>
      </c>
      <c r="G393" s="141" t="str">
        <f>"0299"</f>
        <v>0299</v>
      </c>
      <c r="H393" s="141" t="s">
        <v>1623</v>
      </c>
      <c r="I393" s="141" t="str">
        <f t="shared" si="34"/>
        <v>999</v>
      </c>
      <c r="J393" s="141" t="s">
        <v>4327</v>
      </c>
      <c r="K393" s="141">
        <v>993</v>
      </c>
      <c r="L393" s="141">
        <v>1</v>
      </c>
      <c r="M393" s="141">
        <v>0</v>
      </c>
      <c r="N393" s="141">
        <v>224000</v>
      </c>
      <c r="O393" s="141" t="s">
        <v>4366</v>
      </c>
      <c r="P393" s="141" t="s">
        <v>4541</v>
      </c>
    </row>
    <row r="394" spans="1:16" ht="25.5">
      <c r="A394" s="141">
        <v>76807</v>
      </c>
      <c r="B394" s="141" t="s">
        <v>4325</v>
      </c>
      <c r="C394" s="142">
        <v>41201</v>
      </c>
      <c r="D394" s="141">
        <v>469</v>
      </c>
      <c r="E394" s="141" t="str">
        <f t="shared" si="33"/>
        <v>001</v>
      </c>
      <c r="F394" s="141" t="s">
        <v>4326</v>
      </c>
      <c r="G394" s="141" t="str">
        <f>"0299"</f>
        <v>0299</v>
      </c>
      <c r="H394" s="141" t="s">
        <v>1623</v>
      </c>
      <c r="I394" s="141" t="str">
        <f t="shared" si="34"/>
        <v>999</v>
      </c>
      <c r="J394" s="141" t="s">
        <v>4327</v>
      </c>
      <c r="K394" s="141">
        <v>994</v>
      </c>
      <c r="L394" s="141">
        <v>22</v>
      </c>
      <c r="M394" s="141">
        <v>0</v>
      </c>
      <c r="N394" s="141">
        <v>302000</v>
      </c>
      <c r="O394" s="141" t="s">
        <v>4334</v>
      </c>
      <c r="P394" s="141" t="s">
        <v>4476</v>
      </c>
    </row>
    <row r="395" spans="1:16" ht="25.5">
      <c r="A395" s="141">
        <v>76807</v>
      </c>
      <c r="B395" s="141" t="s">
        <v>4325</v>
      </c>
      <c r="C395" s="142">
        <v>41201</v>
      </c>
      <c r="D395" s="141">
        <v>469</v>
      </c>
      <c r="E395" s="141" t="str">
        <f t="shared" si="33"/>
        <v>001</v>
      </c>
      <c r="F395" s="141" t="s">
        <v>4326</v>
      </c>
      <c r="G395" s="141" t="str">
        <f>"0299"</f>
        <v>0299</v>
      </c>
      <c r="H395" s="141" t="s">
        <v>1623</v>
      </c>
      <c r="I395" s="141" t="str">
        <f t="shared" si="34"/>
        <v>999</v>
      </c>
      <c r="J395" s="141" t="s">
        <v>4327</v>
      </c>
      <c r="K395" s="141">
        <v>995</v>
      </c>
      <c r="L395" s="141">
        <v>1</v>
      </c>
      <c r="M395" s="141">
        <v>0</v>
      </c>
      <c r="N395" s="141">
        <v>42000</v>
      </c>
      <c r="O395" s="141" t="s">
        <v>4337</v>
      </c>
      <c r="P395" s="141" t="s">
        <v>4542</v>
      </c>
    </row>
    <row r="396" spans="1:16" ht="25.5">
      <c r="A396" s="141">
        <v>76807</v>
      </c>
      <c r="B396" s="141" t="s">
        <v>4325</v>
      </c>
      <c r="C396" s="142">
        <v>41201</v>
      </c>
      <c r="D396" s="141">
        <v>406</v>
      </c>
      <c r="E396" s="141" t="str">
        <f t="shared" si="33"/>
        <v>001</v>
      </c>
      <c r="F396" s="141" t="s">
        <v>4326</v>
      </c>
      <c r="G396" s="141" t="str">
        <f t="shared" ref="G396:G404" si="35">"0300"</f>
        <v>0300</v>
      </c>
      <c r="H396" s="141" t="s">
        <v>2771</v>
      </c>
      <c r="I396" s="141" t="str">
        <f t="shared" si="34"/>
        <v>999</v>
      </c>
      <c r="J396" s="141" t="s">
        <v>4327</v>
      </c>
      <c r="K396" s="141">
        <v>1085</v>
      </c>
      <c r="L396" s="141">
        <v>1</v>
      </c>
      <c r="M396" s="141">
        <v>0</v>
      </c>
      <c r="N396" s="141">
        <v>21000</v>
      </c>
      <c r="O396" s="141" t="s">
        <v>4337</v>
      </c>
      <c r="P396" s="141" t="s">
        <v>4543</v>
      </c>
    </row>
    <row r="397" spans="1:16" ht="25.5">
      <c r="A397" s="141">
        <v>76807</v>
      </c>
      <c r="B397" s="141" t="s">
        <v>4325</v>
      </c>
      <c r="C397" s="142">
        <v>41201</v>
      </c>
      <c r="D397" s="141">
        <v>406</v>
      </c>
      <c r="E397" s="141" t="str">
        <f t="shared" si="33"/>
        <v>001</v>
      </c>
      <c r="F397" s="141" t="s">
        <v>4326</v>
      </c>
      <c r="G397" s="141" t="str">
        <f t="shared" si="35"/>
        <v>0300</v>
      </c>
      <c r="H397" s="141" t="s">
        <v>2771</v>
      </c>
      <c r="I397" s="141" t="str">
        <f t="shared" si="34"/>
        <v>999</v>
      </c>
      <c r="J397" s="141" t="s">
        <v>4327</v>
      </c>
      <c r="K397" s="141">
        <v>1086</v>
      </c>
      <c r="L397" s="141">
        <v>1</v>
      </c>
      <c r="M397" s="141">
        <v>0</v>
      </c>
      <c r="N397" s="141">
        <v>112000</v>
      </c>
      <c r="O397" s="141" t="s">
        <v>4366</v>
      </c>
      <c r="P397" s="141" t="s">
        <v>4367</v>
      </c>
    </row>
    <row r="398" spans="1:16" ht="25.5">
      <c r="A398" s="141">
        <v>76807</v>
      </c>
      <c r="B398" s="141" t="s">
        <v>4325</v>
      </c>
      <c r="C398" s="142">
        <v>41201</v>
      </c>
      <c r="D398" s="141">
        <v>406</v>
      </c>
      <c r="E398" s="141" t="str">
        <f t="shared" si="33"/>
        <v>001</v>
      </c>
      <c r="F398" s="141" t="s">
        <v>4326</v>
      </c>
      <c r="G398" s="141" t="str">
        <f t="shared" si="35"/>
        <v>0300</v>
      </c>
      <c r="H398" s="141" t="s">
        <v>2771</v>
      </c>
      <c r="I398" s="141" t="str">
        <f t="shared" si="34"/>
        <v>999</v>
      </c>
      <c r="J398" s="141" t="s">
        <v>4327</v>
      </c>
      <c r="K398" s="141">
        <v>1087</v>
      </c>
      <c r="L398" s="141">
        <v>2</v>
      </c>
      <c r="M398" s="141">
        <v>0</v>
      </c>
      <c r="N398" s="141">
        <v>13000</v>
      </c>
      <c r="O398" s="141" t="s">
        <v>4407</v>
      </c>
      <c r="P398" s="141"/>
    </row>
    <row r="399" spans="1:16" ht="25.5">
      <c r="A399" s="141">
        <v>76807</v>
      </c>
      <c r="B399" s="141" t="s">
        <v>4325</v>
      </c>
      <c r="C399" s="142">
        <v>41201</v>
      </c>
      <c r="D399" s="141">
        <v>406</v>
      </c>
      <c r="E399" s="141" t="str">
        <f t="shared" si="33"/>
        <v>001</v>
      </c>
      <c r="F399" s="141" t="s">
        <v>4326</v>
      </c>
      <c r="G399" s="141" t="str">
        <f t="shared" si="35"/>
        <v>0300</v>
      </c>
      <c r="H399" s="141" t="s">
        <v>2771</v>
      </c>
      <c r="I399" s="141" t="str">
        <f t="shared" si="34"/>
        <v>999</v>
      </c>
      <c r="J399" s="141" t="s">
        <v>4327</v>
      </c>
      <c r="K399" s="141">
        <v>1088</v>
      </c>
      <c r="L399" s="141">
        <v>1</v>
      </c>
      <c r="M399" s="141">
        <v>0</v>
      </c>
      <c r="N399" s="141">
        <v>11000</v>
      </c>
      <c r="O399" s="141" t="s">
        <v>4353</v>
      </c>
      <c r="P399" s="141" t="s">
        <v>4544</v>
      </c>
    </row>
    <row r="400" spans="1:16" ht="25.5">
      <c r="A400" s="141">
        <v>76807</v>
      </c>
      <c r="B400" s="141" t="s">
        <v>4325</v>
      </c>
      <c r="C400" s="142">
        <v>41201</v>
      </c>
      <c r="D400" s="141">
        <v>406</v>
      </c>
      <c r="E400" s="141" t="str">
        <f t="shared" si="33"/>
        <v>001</v>
      </c>
      <c r="F400" s="141" t="s">
        <v>4326</v>
      </c>
      <c r="G400" s="141" t="str">
        <f t="shared" si="35"/>
        <v>0300</v>
      </c>
      <c r="H400" s="141" t="s">
        <v>2771</v>
      </c>
      <c r="I400" s="141" t="str">
        <f t="shared" si="34"/>
        <v>999</v>
      </c>
      <c r="J400" s="141" t="s">
        <v>4327</v>
      </c>
      <c r="K400" s="141">
        <v>1089</v>
      </c>
      <c r="L400" s="141">
        <v>8</v>
      </c>
      <c r="M400" s="141">
        <v>0</v>
      </c>
      <c r="N400" s="141">
        <v>39000</v>
      </c>
      <c r="O400" s="141" t="s">
        <v>4357</v>
      </c>
      <c r="P400" s="141" t="s">
        <v>4335</v>
      </c>
    </row>
    <row r="401" spans="1:16" ht="25.5">
      <c r="A401" s="141">
        <v>76807</v>
      </c>
      <c r="B401" s="141" t="s">
        <v>4325</v>
      </c>
      <c r="C401" s="142">
        <v>41201</v>
      </c>
      <c r="D401" s="141">
        <v>406</v>
      </c>
      <c r="E401" s="141" t="str">
        <f t="shared" si="33"/>
        <v>001</v>
      </c>
      <c r="F401" s="141" t="s">
        <v>4326</v>
      </c>
      <c r="G401" s="141" t="str">
        <f t="shared" si="35"/>
        <v>0300</v>
      </c>
      <c r="H401" s="141" t="s">
        <v>2771</v>
      </c>
      <c r="I401" s="141" t="str">
        <f t="shared" si="34"/>
        <v>999</v>
      </c>
      <c r="J401" s="141" t="s">
        <v>4327</v>
      </c>
      <c r="K401" s="141">
        <v>1090</v>
      </c>
      <c r="L401" s="141">
        <v>6</v>
      </c>
      <c r="M401" s="141">
        <v>0</v>
      </c>
      <c r="N401" s="141">
        <v>13000</v>
      </c>
      <c r="O401" s="141" t="s">
        <v>4408</v>
      </c>
      <c r="P401" s="141"/>
    </row>
    <row r="402" spans="1:16" ht="25.5">
      <c r="A402" s="141">
        <v>76807</v>
      </c>
      <c r="B402" s="141" t="s">
        <v>4325</v>
      </c>
      <c r="C402" s="142">
        <v>41201</v>
      </c>
      <c r="D402" s="141">
        <v>406</v>
      </c>
      <c r="E402" s="141" t="str">
        <f t="shared" si="33"/>
        <v>001</v>
      </c>
      <c r="F402" s="141" t="s">
        <v>4326</v>
      </c>
      <c r="G402" s="141" t="str">
        <f t="shared" si="35"/>
        <v>0300</v>
      </c>
      <c r="H402" s="141" t="s">
        <v>2771</v>
      </c>
      <c r="I402" s="141" t="str">
        <f t="shared" si="34"/>
        <v>999</v>
      </c>
      <c r="J402" s="141" t="s">
        <v>4327</v>
      </c>
      <c r="K402" s="141">
        <v>1091</v>
      </c>
      <c r="L402" s="141">
        <v>6</v>
      </c>
      <c r="M402" s="141">
        <v>0</v>
      </c>
      <c r="N402" s="141">
        <v>3000</v>
      </c>
      <c r="O402" s="141" t="s">
        <v>4350</v>
      </c>
      <c r="P402" s="141"/>
    </row>
    <row r="403" spans="1:16" ht="25.5">
      <c r="A403" s="141">
        <v>76807</v>
      </c>
      <c r="B403" s="141" t="s">
        <v>4325</v>
      </c>
      <c r="C403" s="142">
        <v>41201</v>
      </c>
      <c r="D403" s="141">
        <v>406</v>
      </c>
      <c r="E403" s="141" t="str">
        <f t="shared" si="33"/>
        <v>001</v>
      </c>
      <c r="F403" s="141" t="s">
        <v>4326</v>
      </c>
      <c r="G403" s="141" t="str">
        <f t="shared" si="35"/>
        <v>0300</v>
      </c>
      <c r="H403" s="141" t="s">
        <v>2771</v>
      </c>
      <c r="I403" s="141" t="str">
        <f t="shared" si="34"/>
        <v>999</v>
      </c>
      <c r="J403" s="141" t="s">
        <v>4327</v>
      </c>
      <c r="K403" s="141">
        <v>1092</v>
      </c>
      <c r="L403" s="141">
        <v>4</v>
      </c>
      <c r="M403" s="141">
        <v>0</v>
      </c>
      <c r="N403" s="141">
        <v>3000</v>
      </c>
      <c r="O403" s="141" t="s">
        <v>4343</v>
      </c>
      <c r="P403" s="141"/>
    </row>
    <row r="404" spans="1:16" ht="25.5">
      <c r="A404" s="141">
        <v>76807</v>
      </c>
      <c r="B404" s="141" t="s">
        <v>4325</v>
      </c>
      <c r="C404" s="142">
        <v>41201</v>
      </c>
      <c r="D404" s="141">
        <v>406</v>
      </c>
      <c r="E404" s="141" t="str">
        <f t="shared" si="33"/>
        <v>001</v>
      </c>
      <c r="F404" s="141" t="s">
        <v>4326</v>
      </c>
      <c r="G404" s="141" t="str">
        <f t="shared" si="35"/>
        <v>0300</v>
      </c>
      <c r="H404" s="141" t="s">
        <v>2771</v>
      </c>
      <c r="I404" s="141" t="str">
        <f t="shared" si="34"/>
        <v>999</v>
      </c>
      <c r="J404" s="141" t="s">
        <v>4327</v>
      </c>
      <c r="K404" s="141">
        <v>1093</v>
      </c>
      <c r="L404" s="141">
        <v>1</v>
      </c>
      <c r="M404" s="141">
        <v>0</v>
      </c>
      <c r="N404" s="141">
        <v>1000</v>
      </c>
      <c r="O404" s="141" t="s">
        <v>4381</v>
      </c>
      <c r="P404" s="141"/>
    </row>
    <row r="405" spans="1:16" ht="25.5">
      <c r="A405" s="141">
        <v>76807</v>
      </c>
      <c r="B405" s="141" t="s">
        <v>4325</v>
      </c>
      <c r="C405" s="142">
        <v>41201</v>
      </c>
      <c r="D405" s="141">
        <v>743</v>
      </c>
      <c r="E405" s="141" t="str">
        <f t="shared" si="33"/>
        <v>001</v>
      </c>
      <c r="F405" s="141" t="s">
        <v>4326</v>
      </c>
      <c r="G405" s="141" t="str">
        <f t="shared" ref="G405:G423" si="36">"0301"</f>
        <v>0301</v>
      </c>
      <c r="H405" s="141" t="s">
        <v>3334</v>
      </c>
      <c r="I405" s="141" t="str">
        <f t="shared" si="34"/>
        <v>999</v>
      </c>
      <c r="J405" s="141" t="s">
        <v>4327</v>
      </c>
      <c r="K405" s="141">
        <v>2438</v>
      </c>
      <c r="L405" s="141">
        <v>1</v>
      </c>
      <c r="M405" s="141">
        <v>0</v>
      </c>
      <c r="N405" s="141">
        <v>57000</v>
      </c>
      <c r="O405" s="141" t="s">
        <v>4337</v>
      </c>
      <c r="P405" s="141" t="s">
        <v>4545</v>
      </c>
    </row>
    <row r="406" spans="1:16" ht="25.5">
      <c r="A406" s="141">
        <v>76807</v>
      </c>
      <c r="B406" s="141" t="s">
        <v>4325</v>
      </c>
      <c r="C406" s="142">
        <v>41201</v>
      </c>
      <c r="D406" s="141">
        <v>743</v>
      </c>
      <c r="E406" s="141" t="str">
        <f t="shared" si="33"/>
        <v>001</v>
      </c>
      <c r="F406" s="141" t="s">
        <v>4326</v>
      </c>
      <c r="G406" s="141" t="str">
        <f t="shared" si="36"/>
        <v>0301</v>
      </c>
      <c r="H406" s="141" t="s">
        <v>3334</v>
      </c>
      <c r="I406" s="141" t="str">
        <f t="shared" si="34"/>
        <v>999</v>
      </c>
      <c r="J406" s="141" t="s">
        <v>4327</v>
      </c>
      <c r="K406" s="141">
        <v>2439</v>
      </c>
      <c r="L406" s="141">
        <v>2</v>
      </c>
      <c r="M406" s="141">
        <v>0</v>
      </c>
      <c r="N406" s="141">
        <v>10000</v>
      </c>
      <c r="O406" s="141" t="s">
        <v>4357</v>
      </c>
      <c r="P406" s="141" t="s">
        <v>4413</v>
      </c>
    </row>
    <row r="407" spans="1:16" ht="25.5">
      <c r="A407" s="141">
        <v>76807</v>
      </c>
      <c r="B407" s="141" t="s">
        <v>4325</v>
      </c>
      <c r="C407" s="142">
        <v>41201</v>
      </c>
      <c r="D407" s="141">
        <v>743</v>
      </c>
      <c r="E407" s="141" t="str">
        <f t="shared" si="33"/>
        <v>001</v>
      </c>
      <c r="F407" s="141" t="s">
        <v>4326</v>
      </c>
      <c r="G407" s="141" t="str">
        <f t="shared" si="36"/>
        <v>0301</v>
      </c>
      <c r="H407" s="141" t="s">
        <v>3334</v>
      </c>
      <c r="I407" s="141" t="str">
        <f t="shared" si="34"/>
        <v>999</v>
      </c>
      <c r="J407" s="141" t="s">
        <v>4327</v>
      </c>
      <c r="K407" s="141">
        <v>2440</v>
      </c>
      <c r="L407" s="141">
        <v>2</v>
      </c>
      <c r="M407" s="141">
        <v>0</v>
      </c>
      <c r="N407" s="141">
        <v>9000</v>
      </c>
      <c r="O407" s="141" t="s">
        <v>4357</v>
      </c>
      <c r="P407" s="141" t="s">
        <v>4362</v>
      </c>
    </row>
    <row r="408" spans="1:16" ht="25.5">
      <c r="A408" s="141">
        <v>76807</v>
      </c>
      <c r="B408" s="141" t="s">
        <v>4325</v>
      </c>
      <c r="C408" s="142">
        <v>41201</v>
      </c>
      <c r="D408" s="141">
        <v>743</v>
      </c>
      <c r="E408" s="141" t="str">
        <f t="shared" si="33"/>
        <v>001</v>
      </c>
      <c r="F408" s="141" t="s">
        <v>4326</v>
      </c>
      <c r="G408" s="141" t="str">
        <f t="shared" si="36"/>
        <v>0301</v>
      </c>
      <c r="H408" s="141" t="s">
        <v>3334</v>
      </c>
      <c r="I408" s="141" t="str">
        <f t="shared" si="34"/>
        <v>999</v>
      </c>
      <c r="J408" s="141" t="s">
        <v>4327</v>
      </c>
      <c r="K408" s="141">
        <v>2441</v>
      </c>
      <c r="L408" s="141">
        <v>3</v>
      </c>
      <c r="M408" s="141">
        <v>0</v>
      </c>
      <c r="N408" s="141">
        <v>17000</v>
      </c>
      <c r="O408" s="141" t="s">
        <v>4357</v>
      </c>
      <c r="P408" s="141" t="s">
        <v>4444</v>
      </c>
    </row>
    <row r="409" spans="1:16" ht="25.5">
      <c r="A409" s="141">
        <v>76807</v>
      </c>
      <c r="B409" s="141" t="s">
        <v>4325</v>
      </c>
      <c r="C409" s="142">
        <v>41201</v>
      </c>
      <c r="D409" s="141">
        <v>743</v>
      </c>
      <c r="E409" s="141" t="str">
        <f t="shared" si="33"/>
        <v>001</v>
      </c>
      <c r="F409" s="141" t="s">
        <v>4326</v>
      </c>
      <c r="G409" s="141" t="str">
        <f t="shared" si="36"/>
        <v>0301</v>
      </c>
      <c r="H409" s="141" t="s">
        <v>3334</v>
      </c>
      <c r="I409" s="141" t="str">
        <f t="shared" si="34"/>
        <v>999</v>
      </c>
      <c r="J409" s="141" t="s">
        <v>4327</v>
      </c>
      <c r="K409" s="141">
        <v>2442</v>
      </c>
      <c r="L409" s="141">
        <v>2</v>
      </c>
      <c r="M409" s="141">
        <v>0</v>
      </c>
      <c r="N409" s="141">
        <v>19000</v>
      </c>
      <c r="O409" s="141" t="s">
        <v>4357</v>
      </c>
      <c r="P409" s="141" t="s">
        <v>4546</v>
      </c>
    </row>
    <row r="410" spans="1:16" ht="25.5">
      <c r="A410" s="141">
        <v>76807</v>
      </c>
      <c r="B410" s="141" t="s">
        <v>4325</v>
      </c>
      <c r="C410" s="142">
        <v>41201</v>
      </c>
      <c r="D410" s="141">
        <v>743</v>
      </c>
      <c r="E410" s="141" t="str">
        <f t="shared" si="33"/>
        <v>001</v>
      </c>
      <c r="F410" s="141" t="s">
        <v>4326</v>
      </c>
      <c r="G410" s="141" t="str">
        <f t="shared" si="36"/>
        <v>0301</v>
      </c>
      <c r="H410" s="141" t="s">
        <v>3334</v>
      </c>
      <c r="I410" s="141" t="str">
        <f t="shared" si="34"/>
        <v>999</v>
      </c>
      <c r="J410" s="141" t="s">
        <v>4327</v>
      </c>
      <c r="K410" s="141">
        <v>2443</v>
      </c>
      <c r="L410" s="141">
        <v>2</v>
      </c>
      <c r="M410" s="141">
        <v>0</v>
      </c>
      <c r="N410" s="141">
        <v>16000</v>
      </c>
      <c r="O410" s="141" t="s">
        <v>4357</v>
      </c>
      <c r="P410" s="141" t="s">
        <v>4547</v>
      </c>
    </row>
    <row r="411" spans="1:16" ht="25.5">
      <c r="A411" s="141">
        <v>76807</v>
      </c>
      <c r="B411" s="141" t="s">
        <v>4325</v>
      </c>
      <c r="C411" s="142">
        <v>41201</v>
      </c>
      <c r="D411" s="141">
        <v>743</v>
      </c>
      <c r="E411" s="141" t="str">
        <f t="shared" si="33"/>
        <v>001</v>
      </c>
      <c r="F411" s="141" t="s">
        <v>4326</v>
      </c>
      <c r="G411" s="141" t="str">
        <f t="shared" si="36"/>
        <v>0301</v>
      </c>
      <c r="H411" s="141" t="s">
        <v>3334</v>
      </c>
      <c r="I411" s="141" t="str">
        <f t="shared" si="34"/>
        <v>999</v>
      </c>
      <c r="J411" s="141" t="s">
        <v>4327</v>
      </c>
      <c r="K411" s="141">
        <v>2444</v>
      </c>
      <c r="L411" s="141">
        <v>1</v>
      </c>
      <c r="M411" s="141">
        <v>0</v>
      </c>
      <c r="N411" s="141">
        <v>7000</v>
      </c>
      <c r="O411" s="141" t="s">
        <v>4357</v>
      </c>
      <c r="P411" s="141" t="s">
        <v>4548</v>
      </c>
    </row>
    <row r="412" spans="1:16" ht="25.5">
      <c r="A412" s="141">
        <v>76807</v>
      </c>
      <c r="B412" s="141" t="s">
        <v>4325</v>
      </c>
      <c r="C412" s="142">
        <v>41201</v>
      </c>
      <c r="D412" s="141">
        <v>743</v>
      </c>
      <c r="E412" s="141" t="str">
        <f t="shared" si="33"/>
        <v>001</v>
      </c>
      <c r="F412" s="141" t="s">
        <v>4326</v>
      </c>
      <c r="G412" s="141" t="str">
        <f t="shared" si="36"/>
        <v>0301</v>
      </c>
      <c r="H412" s="141" t="s">
        <v>3334</v>
      </c>
      <c r="I412" s="141" t="str">
        <f t="shared" si="34"/>
        <v>999</v>
      </c>
      <c r="J412" s="141" t="s">
        <v>4327</v>
      </c>
      <c r="K412" s="141">
        <v>2445</v>
      </c>
      <c r="L412" s="141">
        <v>1</v>
      </c>
      <c r="M412" s="141">
        <v>0</v>
      </c>
      <c r="N412" s="141">
        <v>7000</v>
      </c>
      <c r="O412" s="141" t="s">
        <v>4357</v>
      </c>
      <c r="P412" s="141" t="s">
        <v>4549</v>
      </c>
    </row>
    <row r="413" spans="1:16" ht="25.5">
      <c r="A413" s="141">
        <v>76807</v>
      </c>
      <c r="B413" s="141" t="s">
        <v>4325</v>
      </c>
      <c r="C413" s="142">
        <v>41201</v>
      </c>
      <c r="D413" s="141">
        <v>743</v>
      </c>
      <c r="E413" s="141" t="str">
        <f t="shared" si="33"/>
        <v>001</v>
      </c>
      <c r="F413" s="141" t="s">
        <v>4326</v>
      </c>
      <c r="G413" s="141" t="str">
        <f t="shared" si="36"/>
        <v>0301</v>
      </c>
      <c r="H413" s="141" t="s">
        <v>3334</v>
      </c>
      <c r="I413" s="141" t="str">
        <f t="shared" si="34"/>
        <v>999</v>
      </c>
      <c r="J413" s="141" t="s">
        <v>4327</v>
      </c>
      <c r="K413" s="141">
        <v>2446</v>
      </c>
      <c r="L413" s="141">
        <v>3</v>
      </c>
      <c r="M413" s="141">
        <v>0</v>
      </c>
      <c r="N413" s="141">
        <v>2000</v>
      </c>
      <c r="O413" s="141" t="s">
        <v>4343</v>
      </c>
      <c r="P413" s="141"/>
    </row>
    <row r="414" spans="1:16" ht="25.5">
      <c r="A414" s="141">
        <v>76807</v>
      </c>
      <c r="B414" s="141" t="s">
        <v>4325</v>
      </c>
      <c r="C414" s="142">
        <v>41201</v>
      </c>
      <c r="D414" s="141">
        <v>743</v>
      </c>
      <c r="E414" s="141" t="str">
        <f t="shared" si="33"/>
        <v>001</v>
      </c>
      <c r="F414" s="141" t="s">
        <v>4326</v>
      </c>
      <c r="G414" s="141" t="str">
        <f t="shared" si="36"/>
        <v>0301</v>
      </c>
      <c r="H414" s="141" t="s">
        <v>3334</v>
      </c>
      <c r="I414" s="141" t="str">
        <f t="shared" si="34"/>
        <v>999</v>
      </c>
      <c r="J414" s="141" t="s">
        <v>4327</v>
      </c>
      <c r="K414" s="141">
        <v>2447</v>
      </c>
      <c r="L414" s="141">
        <v>1</v>
      </c>
      <c r="M414" s="141">
        <v>0</v>
      </c>
      <c r="N414" s="141">
        <v>2000</v>
      </c>
      <c r="O414" s="141" t="s">
        <v>4345</v>
      </c>
      <c r="P414" s="141"/>
    </row>
    <row r="415" spans="1:16" ht="25.5">
      <c r="A415" s="141">
        <v>76807</v>
      </c>
      <c r="B415" s="141" t="s">
        <v>4325</v>
      </c>
      <c r="C415" s="142">
        <v>41201</v>
      </c>
      <c r="D415" s="141">
        <v>743</v>
      </c>
      <c r="E415" s="141" t="str">
        <f t="shared" si="33"/>
        <v>001</v>
      </c>
      <c r="F415" s="141" t="s">
        <v>4326</v>
      </c>
      <c r="G415" s="141" t="str">
        <f t="shared" si="36"/>
        <v>0301</v>
      </c>
      <c r="H415" s="141" t="s">
        <v>3334</v>
      </c>
      <c r="I415" s="141" t="str">
        <f t="shared" si="34"/>
        <v>999</v>
      </c>
      <c r="J415" s="141" t="s">
        <v>4327</v>
      </c>
      <c r="K415" s="141">
        <v>2448</v>
      </c>
      <c r="L415" s="141">
        <v>1</v>
      </c>
      <c r="M415" s="141">
        <v>0</v>
      </c>
      <c r="N415" s="141">
        <v>9000</v>
      </c>
      <c r="O415" s="141" t="s">
        <v>4550</v>
      </c>
      <c r="P415" s="141" t="s">
        <v>4372</v>
      </c>
    </row>
    <row r="416" spans="1:16" ht="25.5">
      <c r="A416" s="141">
        <v>76807</v>
      </c>
      <c r="B416" s="141" t="s">
        <v>4325</v>
      </c>
      <c r="C416" s="142">
        <v>41201</v>
      </c>
      <c r="D416" s="141">
        <v>743</v>
      </c>
      <c r="E416" s="141" t="str">
        <f t="shared" si="33"/>
        <v>001</v>
      </c>
      <c r="F416" s="141" t="s">
        <v>4326</v>
      </c>
      <c r="G416" s="141" t="str">
        <f t="shared" si="36"/>
        <v>0301</v>
      </c>
      <c r="H416" s="141" t="s">
        <v>3334</v>
      </c>
      <c r="I416" s="141" t="str">
        <f t="shared" si="34"/>
        <v>999</v>
      </c>
      <c r="J416" s="141" t="s">
        <v>4327</v>
      </c>
      <c r="K416" s="141">
        <v>2449</v>
      </c>
      <c r="L416" s="141">
        <v>1</v>
      </c>
      <c r="M416" s="141">
        <v>0</v>
      </c>
      <c r="N416" s="141">
        <v>9000</v>
      </c>
      <c r="O416" s="141" t="s">
        <v>4550</v>
      </c>
      <c r="P416" s="141" t="s">
        <v>4372</v>
      </c>
    </row>
    <row r="417" spans="1:16" ht="25.5">
      <c r="A417" s="141">
        <v>76807</v>
      </c>
      <c r="B417" s="141" t="s">
        <v>4325</v>
      </c>
      <c r="C417" s="142">
        <v>41201</v>
      </c>
      <c r="D417" s="141">
        <v>743</v>
      </c>
      <c r="E417" s="141" t="str">
        <f t="shared" si="33"/>
        <v>001</v>
      </c>
      <c r="F417" s="141" t="s">
        <v>4326</v>
      </c>
      <c r="G417" s="141" t="str">
        <f t="shared" si="36"/>
        <v>0301</v>
      </c>
      <c r="H417" s="141" t="s">
        <v>3334</v>
      </c>
      <c r="I417" s="141" t="str">
        <f t="shared" si="34"/>
        <v>999</v>
      </c>
      <c r="J417" s="141" t="s">
        <v>4327</v>
      </c>
      <c r="K417" s="141">
        <v>2450</v>
      </c>
      <c r="L417" s="141">
        <v>1</v>
      </c>
      <c r="M417" s="141">
        <v>0</v>
      </c>
      <c r="N417" s="141">
        <v>4000</v>
      </c>
      <c r="O417" s="141" t="s">
        <v>4371</v>
      </c>
      <c r="P417" s="141" t="s">
        <v>4372</v>
      </c>
    </row>
    <row r="418" spans="1:16" ht="25.5">
      <c r="A418" s="141">
        <v>76807</v>
      </c>
      <c r="B418" s="141" t="s">
        <v>4325</v>
      </c>
      <c r="C418" s="142">
        <v>41201</v>
      </c>
      <c r="D418" s="141">
        <v>743</v>
      </c>
      <c r="E418" s="141" t="str">
        <f t="shared" si="33"/>
        <v>001</v>
      </c>
      <c r="F418" s="141" t="s">
        <v>4326</v>
      </c>
      <c r="G418" s="141" t="str">
        <f t="shared" si="36"/>
        <v>0301</v>
      </c>
      <c r="H418" s="141" t="s">
        <v>3334</v>
      </c>
      <c r="I418" s="141" t="str">
        <f t="shared" si="34"/>
        <v>999</v>
      </c>
      <c r="J418" s="141" t="s">
        <v>4327</v>
      </c>
      <c r="K418" s="141">
        <v>2451</v>
      </c>
      <c r="L418" s="141">
        <v>1</v>
      </c>
      <c r="M418" s="141">
        <v>0</v>
      </c>
      <c r="N418" s="141">
        <v>4000</v>
      </c>
      <c r="O418" s="141" t="s">
        <v>4371</v>
      </c>
      <c r="P418" s="141" t="s">
        <v>4372</v>
      </c>
    </row>
    <row r="419" spans="1:16" ht="25.5">
      <c r="A419" s="141">
        <v>76807</v>
      </c>
      <c r="B419" s="141" t="s">
        <v>4325</v>
      </c>
      <c r="C419" s="142">
        <v>41201</v>
      </c>
      <c r="D419" s="141">
        <v>743</v>
      </c>
      <c r="E419" s="141" t="str">
        <f t="shared" si="33"/>
        <v>001</v>
      </c>
      <c r="F419" s="141" t="s">
        <v>4326</v>
      </c>
      <c r="G419" s="141" t="str">
        <f t="shared" si="36"/>
        <v>0301</v>
      </c>
      <c r="H419" s="141" t="s">
        <v>3334</v>
      </c>
      <c r="I419" s="141" t="str">
        <f t="shared" si="34"/>
        <v>999</v>
      </c>
      <c r="J419" s="141" t="s">
        <v>4327</v>
      </c>
      <c r="K419" s="141">
        <v>2452</v>
      </c>
      <c r="L419" s="141">
        <v>1</v>
      </c>
      <c r="M419" s="141">
        <v>0</v>
      </c>
      <c r="N419" s="141">
        <v>4000</v>
      </c>
      <c r="O419" s="141" t="s">
        <v>4371</v>
      </c>
      <c r="P419" s="141" t="s">
        <v>4372</v>
      </c>
    </row>
    <row r="420" spans="1:16" ht="25.5">
      <c r="A420" s="141">
        <v>76807</v>
      </c>
      <c r="B420" s="141" t="s">
        <v>4325</v>
      </c>
      <c r="C420" s="142">
        <v>41201</v>
      </c>
      <c r="D420" s="141">
        <v>743</v>
      </c>
      <c r="E420" s="141" t="str">
        <f t="shared" si="33"/>
        <v>001</v>
      </c>
      <c r="F420" s="141" t="s">
        <v>4326</v>
      </c>
      <c r="G420" s="141" t="str">
        <f t="shared" si="36"/>
        <v>0301</v>
      </c>
      <c r="H420" s="141" t="s">
        <v>3334</v>
      </c>
      <c r="I420" s="141" t="str">
        <f t="shared" si="34"/>
        <v>999</v>
      </c>
      <c r="J420" s="141" t="s">
        <v>4327</v>
      </c>
      <c r="K420" s="141">
        <v>2453</v>
      </c>
      <c r="L420" s="141">
        <v>1</v>
      </c>
      <c r="M420" s="141">
        <v>0</v>
      </c>
      <c r="N420" s="141">
        <v>4000</v>
      </c>
      <c r="O420" s="141" t="s">
        <v>4371</v>
      </c>
      <c r="P420" s="141" t="s">
        <v>4372</v>
      </c>
    </row>
    <row r="421" spans="1:16" ht="25.5">
      <c r="A421" s="141">
        <v>76807</v>
      </c>
      <c r="B421" s="141" t="s">
        <v>4325</v>
      </c>
      <c r="C421" s="142">
        <v>41201</v>
      </c>
      <c r="D421" s="141">
        <v>743</v>
      </c>
      <c r="E421" s="141" t="str">
        <f t="shared" si="33"/>
        <v>001</v>
      </c>
      <c r="F421" s="141" t="s">
        <v>4326</v>
      </c>
      <c r="G421" s="141" t="str">
        <f t="shared" si="36"/>
        <v>0301</v>
      </c>
      <c r="H421" s="141" t="s">
        <v>3334</v>
      </c>
      <c r="I421" s="141" t="str">
        <f t="shared" si="34"/>
        <v>999</v>
      </c>
      <c r="J421" s="141" t="s">
        <v>4327</v>
      </c>
      <c r="K421" s="141">
        <v>2454</v>
      </c>
      <c r="L421" s="141">
        <v>1</v>
      </c>
      <c r="M421" s="141">
        <v>0</v>
      </c>
      <c r="N421" s="141">
        <v>4000</v>
      </c>
      <c r="O421" s="141" t="s">
        <v>4371</v>
      </c>
      <c r="P421" s="141" t="s">
        <v>4372</v>
      </c>
    </row>
    <row r="422" spans="1:16" ht="25.5">
      <c r="A422" s="141">
        <v>76807</v>
      </c>
      <c r="B422" s="141" t="s">
        <v>4325</v>
      </c>
      <c r="C422" s="142">
        <v>41201</v>
      </c>
      <c r="D422" s="141">
        <v>743</v>
      </c>
      <c r="E422" s="141" t="str">
        <f t="shared" si="33"/>
        <v>001</v>
      </c>
      <c r="F422" s="141" t="s">
        <v>4326</v>
      </c>
      <c r="G422" s="141" t="str">
        <f t="shared" si="36"/>
        <v>0301</v>
      </c>
      <c r="H422" s="141" t="s">
        <v>3334</v>
      </c>
      <c r="I422" s="141" t="str">
        <f t="shared" si="34"/>
        <v>999</v>
      </c>
      <c r="J422" s="141" t="s">
        <v>4327</v>
      </c>
      <c r="K422" s="141">
        <v>2455</v>
      </c>
      <c r="L422" s="141">
        <v>1</v>
      </c>
      <c r="M422" s="141">
        <v>0</v>
      </c>
      <c r="N422" s="141">
        <v>4000</v>
      </c>
      <c r="O422" s="141" t="s">
        <v>4371</v>
      </c>
      <c r="P422" s="141" t="s">
        <v>4372</v>
      </c>
    </row>
    <row r="423" spans="1:16" ht="25.5">
      <c r="A423" s="141">
        <v>76807</v>
      </c>
      <c r="B423" s="141" t="s">
        <v>4325</v>
      </c>
      <c r="C423" s="142">
        <v>41201</v>
      </c>
      <c r="D423" s="141">
        <v>743</v>
      </c>
      <c r="E423" s="141" t="str">
        <f t="shared" si="33"/>
        <v>001</v>
      </c>
      <c r="F423" s="141" t="s">
        <v>4326</v>
      </c>
      <c r="G423" s="141" t="str">
        <f t="shared" si="36"/>
        <v>0301</v>
      </c>
      <c r="H423" s="141" t="s">
        <v>3334</v>
      </c>
      <c r="I423" s="141" t="str">
        <f t="shared" si="34"/>
        <v>999</v>
      </c>
      <c r="J423" s="141" t="s">
        <v>4327</v>
      </c>
      <c r="K423" s="141">
        <v>2456</v>
      </c>
      <c r="L423" s="141">
        <v>4</v>
      </c>
      <c r="M423" s="141">
        <v>0</v>
      </c>
      <c r="N423" s="141">
        <v>26000</v>
      </c>
      <c r="O423" s="141" t="s">
        <v>4407</v>
      </c>
      <c r="P423" s="141"/>
    </row>
    <row r="424" spans="1:16" ht="25.5">
      <c r="A424" s="141">
        <v>76807</v>
      </c>
      <c r="B424" s="141" t="s">
        <v>4325</v>
      </c>
      <c r="C424" s="142">
        <v>41201</v>
      </c>
      <c r="D424" s="141">
        <v>427</v>
      </c>
      <c r="E424" s="141" t="str">
        <f t="shared" si="33"/>
        <v>001</v>
      </c>
      <c r="F424" s="141" t="s">
        <v>4326</v>
      </c>
      <c r="G424" s="141" t="str">
        <f t="shared" ref="G424:G431" si="37">"0304"</f>
        <v>0304</v>
      </c>
      <c r="H424" s="141" t="s">
        <v>1624</v>
      </c>
      <c r="I424" s="141" t="str">
        <f t="shared" si="34"/>
        <v>999</v>
      </c>
      <c r="J424" s="141" t="s">
        <v>4327</v>
      </c>
      <c r="K424" s="141">
        <v>1223</v>
      </c>
      <c r="L424" s="141">
        <v>3</v>
      </c>
      <c r="M424" s="141">
        <v>0</v>
      </c>
      <c r="N424" s="141">
        <v>19000</v>
      </c>
      <c r="O424" s="141" t="s">
        <v>4407</v>
      </c>
      <c r="P424" s="141"/>
    </row>
    <row r="425" spans="1:16" ht="25.5">
      <c r="A425" s="141">
        <v>76807</v>
      </c>
      <c r="B425" s="141" t="s">
        <v>4325</v>
      </c>
      <c r="C425" s="142">
        <v>41201</v>
      </c>
      <c r="D425" s="141">
        <v>427</v>
      </c>
      <c r="E425" s="141" t="str">
        <f t="shared" si="33"/>
        <v>001</v>
      </c>
      <c r="F425" s="141" t="s">
        <v>4326</v>
      </c>
      <c r="G425" s="141" t="str">
        <f t="shared" si="37"/>
        <v>0304</v>
      </c>
      <c r="H425" s="141" t="s">
        <v>1624</v>
      </c>
      <c r="I425" s="141" t="str">
        <f t="shared" si="34"/>
        <v>999</v>
      </c>
      <c r="J425" s="141" t="s">
        <v>4327</v>
      </c>
      <c r="K425" s="141">
        <v>1224</v>
      </c>
      <c r="L425" s="141">
        <v>4</v>
      </c>
      <c r="M425" s="141">
        <v>0</v>
      </c>
      <c r="N425" s="141">
        <v>3000</v>
      </c>
      <c r="O425" s="141" t="s">
        <v>4343</v>
      </c>
      <c r="P425" s="141"/>
    </row>
    <row r="426" spans="1:16" ht="25.5">
      <c r="A426" s="141">
        <v>76807</v>
      </c>
      <c r="B426" s="141" t="s">
        <v>4325</v>
      </c>
      <c r="C426" s="142">
        <v>41201</v>
      </c>
      <c r="D426" s="141">
        <v>427</v>
      </c>
      <c r="E426" s="141" t="str">
        <f t="shared" si="33"/>
        <v>001</v>
      </c>
      <c r="F426" s="141" t="s">
        <v>4326</v>
      </c>
      <c r="G426" s="141" t="str">
        <f t="shared" si="37"/>
        <v>0304</v>
      </c>
      <c r="H426" s="141" t="s">
        <v>1624</v>
      </c>
      <c r="I426" s="141" t="str">
        <f t="shared" si="34"/>
        <v>999</v>
      </c>
      <c r="J426" s="141" t="s">
        <v>4327</v>
      </c>
      <c r="K426" s="141">
        <v>1225</v>
      </c>
      <c r="L426" s="141">
        <v>8</v>
      </c>
      <c r="M426" s="141">
        <v>0</v>
      </c>
      <c r="N426" s="141">
        <v>4000</v>
      </c>
      <c r="O426" s="141" t="s">
        <v>4350</v>
      </c>
      <c r="P426" s="141"/>
    </row>
    <row r="427" spans="1:16" ht="25.5">
      <c r="A427" s="141">
        <v>76807</v>
      </c>
      <c r="B427" s="141" t="s">
        <v>4325</v>
      </c>
      <c r="C427" s="142">
        <v>41201</v>
      </c>
      <c r="D427" s="141">
        <v>427</v>
      </c>
      <c r="E427" s="141" t="str">
        <f t="shared" si="33"/>
        <v>001</v>
      </c>
      <c r="F427" s="141" t="s">
        <v>4326</v>
      </c>
      <c r="G427" s="141" t="str">
        <f t="shared" si="37"/>
        <v>0304</v>
      </c>
      <c r="H427" s="141" t="s">
        <v>1624</v>
      </c>
      <c r="I427" s="141" t="str">
        <f t="shared" si="34"/>
        <v>999</v>
      </c>
      <c r="J427" s="141" t="s">
        <v>4327</v>
      </c>
      <c r="K427" s="141">
        <v>1226</v>
      </c>
      <c r="L427" s="141">
        <v>1</v>
      </c>
      <c r="M427" s="141">
        <v>0</v>
      </c>
      <c r="N427" s="141">
        <v>46000</v>
      </c>
      <c r="O427" s="141" t="s">
        <v>4328</v>
      </c>
      <c r="P427" s="141" t="s">
        <v>4478</v>
      </c>
    </row>
    <row r="428" spans="1:16" ht="25.5">
      <c r="A428" s="141">
        <v>76807</v>
      </c>
      <c r="B428" s="141" t="s">
        <v>4325</v>
      </c>
      <c r="C428" s="142">
        <v>41201</v>
      </c>
      <c r="D428" s="141">
        <v>427</v>
      </c>
      <c r="E428" s="141" t="str">
        <f t="shared" si="33"/>
        <v>001</v>
      </c>
      <c r="F428" s="141" t="s">
        <v>4326</v>
      </c>
      <c r="G428" s="141" t="str">
        <f t="shared" si="37"/>
        <v>0304</v>
      </c>
      <c r="H428" s="141" t="s">
        <v>1624</v>
      </c>
      <c r="I428" s="141" t="str">
        <f t="shared" si="34"/>
        <v>999</v>
      </c>
      <c r="J428" s="141" t="s">
        <v>4327</v>
      </c>
      <c r="K428" s="141">
        <v>1227</v>
      </c>
      <c r="L428" s="141">
        <v>1</v>
      </c>
      <c r="M428" s="141">
        <v>0</v>
      </c>
      <c r="N428" s="141">
        <v>1000</v>
      </c>
      <c r="O428" s="141" t="s">
        <v>4381</v>
      </c>
      <c r="P428" s="141"/>
    </row>
    <row r="429" spans="1:16" ht="25.5">
      <c r="A429" s="141">
        <v>76807</v>
      </c>
      <c r="B429" s="141" t="s">
        <v>4325</v>
      </c>
      <c r="C429" s="142">
        <v>41201</v>
      </c>
      <c r="D429" s="141">
        <v>427</v>
      </c>
      <c r="E429" s="141" t="str">
        <f t="shared" si="33"/>
        <v>001</v>
      </c>
      <c r="F429" s="141" t="s">
        <v>4326</v>
      </c>
      <c r="G429" s="141" t="str">
        <f t="shared" si="37"/>
        <v>0304</v>
      </c>
      <c r="H429" s="141" t="s">
        <v>1624</v>
      </c>
      <c r="I429" s="141" t="str">
        <f t="shared" si="34"/>
        <v>999</v>
      </c>
      <c r="J429" s="141" t="s">
        <v>4327</v>
      </c>
      <c r="K429" s="141">
        <v>1228</v>
      </c>
      <c r="L429" s="141">
        <v>4</v>
      </c>
      <c r="M429" s="141">
        <v>0</v>
      </c>
      <c r="N429" s="141">
        <v>7000</v>
      </c>
      <c r="O429" s="141" t="s">
        <v>4334</v>
      </c>
      <c r="P429" s="141" t="s">
        <v>4363</v>
      </c>
    </row>
    <row r="430" spans="1:16" ht="25.5">
      <c r="A430" s="141">
        <v>76807</v>
      </c>
      <c r="B430" s="141" t="s">
        <v>4325</v>
      </c>
      <c r="C430" s="142">
        <v>41201</v>
      </c>
      <c r="D430" s="141">
        <v>427</v>
      </c>
      <c r="E430" s="141" t="str">
        <f t="shared" si="33"/>
        <v>001</v>
      </c>
      <c r="F430" s="141" t="s">
        <v>4326</v>
      </c>
      <c r="G430" s="141" t="str">
        <f t="shared" si="37"/>
        <v>0304</v>
      </c>
      <c r="H430" s="141" t="s">
        <v>1624</v>
      </c>
      <c r="I430" s="141" t="str">
        <f t="shared" si="34"/>
        <v>999</v>
      </c>
      <c r="J430" s="141" t="s">
        <v>4327</v>
      </c>
      <c r="K430" s="141">
        <v>1229</v>
      </c>
      <c r="L430" s="141">
        <v>4</v>
      </c>
      <c r="M430" s="141">
        <v>0</v>
      </c>
      <c r="N430" s="141">
        <v>37000</v>
      </c>
      <c r="O430" s="141" t="s">
        <v>4475</v>
      </c>
      <c r="P430" s="141" t="s">
        <v>4551</v>
      </c>
    </row>
    <row r="431" spans="1:16" ht="25.5">
      <c r="A431" s="141">
        <v>76807</v>
      </c>
      <c r="B431" s="141" t="s">
        <v>4325</v>
      </c>
      <c r="C431" s="142">
        <v>41201</v>
      </c>
      <c r="D431" s="141">
        <v>427</v>
      </c>
      <c r="E431" s="141" t="str">
        <f t="shared" si="33"/>
        <v>001</v>
      </c>
      <c r="F431" s="141" t="s">
        <v>4326</v>
      </c>
      <c r="G431" s="141" t="str">
        <f t="shared" si="37"/>
        <v>0304</v>
      </c>
      <c r="H431" s="141" t="s">
        <v>1624</v>
      </c>
      <c r="I431" s="141" t="str">
        <f t="shared" si="34"/>
        <v>999</v>
      </c>
      <c r="J431" s="141" t="s">
        <v>4327</v>
      </c>
      <c r="K431" s="141">
        <v>1230</v>
      </c>
      <c r="L431" s="141">
        <v>9</v>
      </c>
      <c r="M431" s="141">
        <v>0</v>
      </c>
      <c r="N431" s="141">
        <v>110000</v>
      </c>
      <c r="O431" s="141" t="s">
        <v>4475</v>
      </c>
      <c r="P431" s="141" t="s">
        <v>4477</v>
      </c>
    </row>
    <row r="432" spans="1:16" ht="25.5">
      <c r="A432" s="141">
        <v>76807</v>
      </c>
      <c r="B432" s="141" t="s">
        <v>4325</v>
      </c>
      <c r="C432" s="142">
        <v>41201</v>
      </c>
      <c r="D432" s="141">
        <v>394</v>
      </c>
      <c r="E432" s="141" t="str">
        <f t="shared" si="33"/>
        <v>001</v>
      </c>
      <c r="F432" s="141" t="s">
        <v>4326</v>
      </c>
      <c r="G432" s="141" t="str">
        <f t="shared" ref="G432:G437" si="38">"0305"</f>
        <v>0305</v>
      </c>
      <c r="H432" s="141" t="s">
        <v>1625</v>
      </c>
      <c r="I432" s="141" t="str">
        <f t="shared" si="34"/>
        <v>999</v>
      </c>
      <c r="J432" s="141" t="s">
        <v>4327</v>
      </c>
      <c r="K432" s="141">
        <v>1039</v>
      </c>
      <c r="L432" s="141">
        <v>4</v>
      </c>
      <c r="M432" s="141">
        <v>0</v>
      </c>
      <c r="N432" s="141">
        <v>7000</v>
      </c>
      <c r="O432" s="141" t="s">
        <v>4515</v>
      </c>
      <c r="P432" s="141"/>
    </row>
    <row r="433" spans="1:16" ht="25.5">
      <c r="A433" s="141">
        <v>76807</v>
      </c>
      <c r="B433" s="141" t="s">
        <v>4325</v>
      </c>
      <c r="C433" s="142">
        <v>41201</v>
      </c>
      <c r="D433" s="141">
        <v>394</v>
      </c>
      <c r="E433" s="141" t="str">
        <f t="shared" si="33"/>
        <v>001</v>
      </c>
      <c r="F433" s="141" t="s">
        <v>4326</v>
      </c>
      <c r="G433" s="141" t="str">
        <f t="shared" si="38"/>
        <v>0305</v>
      </c>
      <c r="H433" s="141" t="s">
        <v>1625</v>
      </c>
      <c r="I433" s="141" t="str">
        <f t="shared" si="34"/>
        <v>999</v>
      </c>
      <c r="J433" s="141" t="s">
        <v>4327</v>
      </c>
      <c r="K433" s="141">
        <v>1040</v>
      </c>
      <c r="L433" s="141">
        <v>1</v>
      </c>
      <c r="M433" s="141">
        <v>0</v>
      </c>
      <c r="N433" s="141">
        <v>3000</v>
      </c>
      <c r="O433" s="141" t="s">
        <v>4351</v>
      </c>
      <c r="P433" s="141" t="s">
        <v>4449</v>
      </c>
    </row>
    <row r="434" spans="1:16" ht="25.5">
      <c r="A434" s="141">
        <v>76807</v>
      </c>
      <c r="B434" s="141" t="s">
        <v>4325</v>
      </c>
      <c r="C434" s="142">
        <v>41201</v>
      </c>
      <c r="D434" s="141">
        <v>394</v>
      </c>
      <c r="E434" s="141" t="str">
        <f t="shared" si="33"/>
        <v>001</v>
      </c>
      <c r="F434" s="141" t="s">
        <v>4326</v>
      </c>
      <c r="G434" s="141" t="str">
        <f t="shared" si="38"/>
        <v>0305</v>
      </c>
      <c r="H434" s="141" t="s">
        <v>1625</v>
      </c>
      <c r="I434" s="141" t="str">
        <f t="shared" si="34"/>
        <v>999</v>
      </c>
      <c r="J434" s="141" t="s">
        <v>4327</v>
      </c>
      <c r="K434" s="141">
        <v>1041</v>
      </c>
      <c r="L434" s="141">
        <v>27</v>
      </c>
      <c r="M434" s="141">
        <v>0</v>
      </c>
      <c r="N434" s="141">
        <v>418000</v>
      </c>
      <c r="O434" s="141" t="s">
        <v>4357</v>
      </c>
      <c r="P434" s="141" t="s">
        <v>4495</v>
      </c>
    </row>
    <row r="435" spans="1:16" ht="25.5">
      <c r="A435" s="141">
        <v>76807</v>
      </c>
      <c r="B435" s="141" t="s">
        <v>4325</v>
      </c>
      <c r="C435" s="142">
        <v>41201</v>
      </c>
      <c r="D435" s="141">
        <v>394</v>
      </c>
      <c r="E435" s="141" t="str">
        <f t="shared" si="33"/>
        <v>001</v>
      </c>
      <c r="F435" s="141" t="s">
        <v>4326</v>
      </c>
      <c r="G435" s="141" t="str">
        <f t="shared" si="38"/>
        <v>0305</v>
      </c>
      <c r="H435" s="141" t="s">
        <v>1625</v>
      </c>
      <c r="I435" s="141" t="str">
        <f t="shared" si="34"/>
        <v>999</v>
      </c>
      <c r="J435" s="141" t="s">
        <v>4327</v>
      </c>
      <c r="K435" s="141">
        <v>1042</v>
      </c>
      <c r="L435" s="141">
        <v>6</v>
      </c>
      <c r="M435" s="141">
        <v>0</v>
      </c>
      <c r="N435" s="141">
        <v>38000</v>
      </c>
      <c r="O435" s="141" t="s">
        <v>4407</v>
      </c>
      <c r="P435" s="141"/>
    </row>
    <row r="436" spans="1:16" ht="25.5">
      <c r="A436" s="141">
        <v>76807</v>
      </c>
      <c r="B436" s="141" t="s">
        <v>4325</v>
      </c>
      <c r="C436" s="142">
        <v>41201</v>
      </c>
      <c r="D436" s="141">
        <v>394</v>
      </c>
      <c r="E436" s="141" t="str">
        <f t="shared" si="33"/>
        <v>001</v>
      </c>
      <c r="F436" s="141" t="s">
        <v>4326</v>
      </c>
      <c r="G436" s="141" t="str">
        <f t="shared" si="38"/>
        <v>0305</v>
      </c>
      <c r="H436" s="141" t="s">
        <v>1625</v>
      </c>
      <c r="I436" s="141" t="str">
        <f t="shared" si="34"/>
        <v>999</v>
      </c>
      <c r="J436" s="141" t="s">
        <v>4327</v>
      </c>
      <c r="K436" s="141">
        <v>1043</v>
      </c>
      <c r="L436" s="141">
        <v>1</v>
      </c>
      <c r="M436" s="141">
        <v>0</v>
      </c>
      <c r="N436" s="141">
        <v>77000</v>
      </c>
      <c r="O436" s="141" t="s">
        <v>4328</v>
      </c>
      <c r="P436" s="141" t="s">
        <v>4552</v>
      </c>
    </row>
    <row r="437" spans="1:16" ht="25.5">
      <c r="A437" s="141">
        <v>76807</v>
      </c>
      <c r="B437" s="141" t="s">
        <v>4325</v>
      </c>
      <c r="C437" s="142">
        <v>41201</v>
      </c>
      <c r="D437" s="141">
        <v>394</v>
      </c>
      <c r="E437" s="141" t="str">
        <f t="shared" si="33"/>
        <v>001</v>
      </c>
      <c r="F437" s="141" t="s">
        <v>4326</v>
      </c>
      <c r="G437" s="141" t="str">
        <f t="shared" si="38"/>
        <v>0305</v>
      </c>
      <c r="H437" s="141" t="s">
        <v>1625</v>
      </c>
      <c r="I437" s="141" t="str">
        <f t="shared" si="34"/>
        <v>999</v>
      </c>
      <c r="J437" s="141" t="s">
        <v>4327</v>
      </c>
      <c r="K437" s="141">
        <v>1044</v>
      </c>
      <c r="L437" s="141">
        <v>2</v>
      </c>
      <c r="M437" s="141">
        <v>0</v>
      </c>
      <c r="N437" s="141">
        <v>4000</v>
      </c>
      <c r="O437" s="141" t="s">
        <v>4408</v>
      </c>
      <c r="P437" s="141"/>
    </row>
    <row r="438" spans="1:16" ht="25.5">
      <c r="A438" s="141">
        <v>76807</v>
      </c>
      <c r="B438" s="141" t="s">
        <v>4325</v>
      </c>
      <c r="C438" s="142">
        <v>41201</v>
      </c>
      <c r="D438" s="141">
        <v>430</v>
      </c>
      <c r="E438" s="141" t="str">
        <f t="shared" si="33"/>
        <v>001</v>
      </c>
      <c r="F438" s="141" t="s">
        <v>4326</v>
      </c>
      <c r="G438" s="141" t="str">
        <f t="shared" ref="G438:G446" si="39">"0306"</f>
        <v>0306</v>
      </c>
      <c r="H438" s="141" t="s">
        <v>1626</v>
      </c>
      <c r="I438" s="141" t="str">
        <f t="shared" si="34"/>
        <v>999</v>
      </c>
      <c r="J438" s="141" t="s">
        <v>4327</v>
      </c>
      <c r="K438" s="141">
        <v>1236</v>
      </c>
      <c r="L438" s="141">
        <v>4</v>
      </c>
      <c r="M438" s="141">
        <v>0</v>
      </c>
      <c r="N438" s="141">
        <v>26000</v>
      </c>
      <c r="O438" s="141" t="s">
        <v>4407</v>
      </c>
      <c r="P438" s="141"/>
    </row>
    <row r="439" spans="1:16" ht="25.5">
      <c r="A439" s="141">
        <v>76807</v>
      </c>
      <c r="B439" s="141" t="s">
        <v>4325</v>
      </c>
      <c r="C439" s="142">
        <v>41201</v>
      </c>
      <c r="D439" s="141">
        <v>430</v>
      </c>
      <c r="E439" s="141" t="str">
        <f t="shared" si="33"/>
        <v>001</v>
      </c>
      <c r="F439" s="141" t="s">
        <v>4326</v>
      </c>
      <c r="G439" s="141" t="str">
        <f t="shared" si="39"/>
        <v>0306</v>
      </c>
      <c r="H439" s="141" t="s">
        <v>1626</v>
      </c>
      <c r="I439" s="141" t="str">
        <f t="shared" si="34"/>
        <v>999</v>
      </c>
      <c r="J439" s="141" t="s">
        <v>4327</v>
      </c>
      <c r="K439" s="141">
        <v>1237</v>
      </c>
      <c r="L439" s="141">
        <v>1</v>
      </c>
      <c r="M439" s="141">
        <v>0</v>
      </c>
      <c r="N439" s="141">
        <v>112000</v>
      </c>
      <c r="O439" s="141" t="s">
        <v>4366</v>
      </c>
      <c r="P439" s="141" t="s">
        <v>4367</v>
      </c>
    </row>
    <row r="440" spans="1:16" ht="25.5">
      <c r="A440" s="141">
        <v>76807</v>
      </c>
      <c r="B440" s="141" t="s">
        <v>4325</v>
      </c>
      <c r="C440" s="142">
        <v>41201</v>
      </c>
      <c r="D440" s="141">
        <v>430</v>
      </c>
      <c r="E440" s="141" t="str">
        <f t="shared" si="33"/>
        <v>001</v>
      </c>
      <c r="F440" s="141" t="s">
        <v>4326</v>
      </c>
      <c r="G440" s="141" t="str">
        <f t="shared" si="39"/>
        <v>0306</v>
      </c>
      <c r="H440" s="141" t="s">
        <v>1626</v>
      </c>
      <c r="I440" s="141" t="str">
        <f t="shared" si="34"/>
        <v>999</v>
      </c>
      <c r="J440" s="141" t="s">
        <v>4327</v>
      </c>
      <c r="K440" s="141">
        <v>1238</v>
      </c>
      <c r="L440" s="141">
        <v>1</v>
      </c>
      <c r="M440" s="141">
        <v>0</v>
      </c>
      <c r="N440" s="141">
        <v>39000</v>
      </c>
      <c r="O440" s="141" t="s">
        <v>4337</v>
      </c>
      <c r="P440" s="141" t="s">
        <v>4478</v>
      </c>
    </row>
    <row r="441" spans="1:16" ht="25.5">
      <c r="A441" s="141">
        <v>76807</v>
      </c>
      <c r="B441" s="141" t="s">
        <v>4325</v>
      </c>
      <c r="C441" s="142">
        <v>41201</v>
      </c>
      <c r="D441" s="141">
        <v>430</v>
      </c>
      <c r="E441" s="141" t="str">
        <f t="shared" si="33"/>
        <v>001</v>
      </c>
      <c r="F441" s="141" t="s">
        <v>4326</v>
      </c>
      <c r="G441" s="141" t="str">
        <f t="shared" si="39"/>
        <v>0306</v>
      </c>
      <c r="H441" s="141" t="s">
        <v>1626</v>
      </c>
      <c r="I441" s="141" t="str">
        <f t="shared" si="34"/>
        <v>999</v>
      </c>
      <c r="J441" s="141" t="s">
        <v>4327</v>
      </c>
      <c r="K441" s="141">
        <v>1239</v>
      </c>
      <c r="L441" s="141">
        <v>6</v>
      </c>
      <c r="M441" s="141">
        <v>0</v>
      </c>
      <c r="N441" s="141">
        <v>93000</v>
      </c>
      <c r="O441" s="141" t="s">
        <v>4357</v>
      </c>
      <c r="P441" s="141" t="s">
        <v>4495</v>
      </c>
    </row>
    <row r="442" spans="1:16" ht="25.5">
      <c r="A442" s="141">
        <v>76807</v>
      </c>
      <c r="B442" s="141" t="s">
        <v>4325</v>
      </c>
      <c r="C442" s="142">
        <v>41201</v>
      </c>
      <c r="D442" s="141">
        <v>430</v>
      </c>
      <c r="E442" s="141" t="str">
        <f t="shared" si="33"/>
        <v>001</v>
      </c>
      <c r="F442" s="141" t="s">
        <v>4326</v>
      </c>
      <c r="G442" s="141" t="str">
        <f t="shared" si="39"/>
        <v>0306</v>
      </c>
      <c r="H442" s="141" t="s">
        <v>1626</v>
      </c>
      <c r="I442" s="141" t="str">
        <f t="shared" si="34"/>
        <v>999</v>
      </c>
      <c r="J442" s="141" t="s">
        <v>4327</v>
      </c>
      <c r="K442" s="141">
        <v>1240</v>
      </c>
      <c r="L442" s="141">
        <v>8</v>
      </c>
      <c r="M442" s="141">
        <v>0</v>
      </c>
      <c r="N442" s="141">
        <v>64000</v>
      </c>
      <c r="O442" s="141" t="s">
        <v>4334</v>
      </c>
      <c r="P442" s="141" t="s">
        <v>4444</v>
      </c>
    </row>
    <row r="443" spans="1:16" ht="25.5">
      <c r="A443" s="141">
        <v>76807</v>
      </c>
      <c r="B443" s="141" t="s">
        <v>4325</v>
      </c>
      <c r="C443" s="142">
        <v>41201</v>
      </c>
      <c r="D443" s="141">
        <v>430</v>
      </c>
      <c r="E443" s="141" t="str">
        <f t="shared" si="33"/>
        <v>001</v>
      </c>
      <c r="F443" s="141" t="s">
        <v>4326</v>
      </c>
      <c r="G443" s="141" t="str">
        <f t="shared" si="39"/>
        <v>0306</v>
      </c>
      <c r="H443" s="141" t="s">
        <v>1626</v>
      </c>
      <c r="I443" s="141" t="str">
        <f t="shared" si="34"/>
        <v>999</v>
      </c>
      <c r="J443" s="141" t="s">
        <v>4327</v>
      </c>
      <c r="K443" s="141">
        <v>1241</v>
      </c>
      <c r="L443" s="141">
        <v>6</v>
      </c>
      <c r="M443" s="141">
        <v>0</v>
      </c>
      <c r="N443" s="141">
        <v>13000</v>
      </c>
      <c r="O443" s="141" t="s">
        <v>4408</v>
      </c>
      <c r="P443" s="141"/>
    </row>
    <row r="444" spans="1:16" ht="25.5">
      <c r="A444" s="141">
        <v>76807</v>
      </c>
      <c r="B444" s="141" t="s">
        <v>4325</v>
      </c>
      <c r="C444" s="142">
        <v>41201</v>
      </c>
      <c r="D444" s="141">
        <v>430</v>
      </c>
      <c r="E444" s="141" t="str">
        <f t="shared" si="33"/>
        <v>001</v>
      </c>
      <c r="F444" s="141" t="s">
        <v>4326</v>
      </c>
      <c r="G444" s="141" t="str">
        <f t="shared" si="39"/>
        <v>0306</v>
      </c>
      <c r="H444" s="141" t="s">
        <v>1626</v>
      </c>
      <c r="I444" s="141" t="str">
        <f t="shared" si="34"/>
        <v>999</v>
      </c>
      <c r="J444" s="141" t="s">
        <v>4327</v>
      </c>
      <c r="K444" s="141">
        <v>1242</v>
      </c>
      <c r="L444" s="141">
        <v>6</v>
      </c>
      <c r="M444" s="141">
        <v>0</v>
      </c>
      <c r="N444" s="141">
        <v>33000</v>
      </c>
      <c r="O444" s="141" t="s">
        <v>4540</v>
      </c>
      <c r="P444" s="141"/>
    </row>
    <row r="445" spans="1:16" ht="25.5">
      <c r="A445" s="141">
        <v>76807</v>
      </c>
      <c r="B445" s="141" t="s">
        <v>4325</v>
      </c>
      <c r="C445" s="142">
        <v>41201</v>
      </c>
      <c r="D445" s="141">
        <v>430</v>
      </c>
      <c r="E445" s="141" t="str">
        <f t="shared" si="33"/>
        <v>001</v>
      </c>
      <c r="F445" s="141" t="s">
        <v>4326</v>
      </c>
      <c r="G445" s="141" t="str">
        <f t="shared" si="39"/>
        <v>0306</v>
      </c>
      <c r="H445" s="141" t="s">
        <v>1626</v>
      </c>
      <c r="I445" s="141" t="str">
        <f t="shared" si="34"/>
        <v>999</v>
      </c>
      <c r="J445" s="141" t="s">
        <v>4327</v>
      </c>
      <c r="K445" s="141">
        <v>1243</v>
      </c>
      <c r="L445" s="141">
        <v>2</v>
      </c>
      <c r="M445" s="141">
        <v>0</v>
      </c>
      <c r="N445" s="141">
        <v>3000</v>
      </c>
      <c r="O445" s="141" t="s">
        <v>4515</v>
      </c>
      <c r="P445" s="141"/>
    </row>
    <row r="446" spans="1:16" ht="25.5">
      <c r="A446" s="141">
        <v>76807</v>
      </c>
      <c r="B446" s="141" t="s">
        <v>4325</v>
      </c>
      <c r="C446" s="142">
        <v>41201</v>
      </c>
      <c r="D446" s="141">
        <v>430</v>
      </c>
      <c r="E446" s="141" t="str">
        <f t="shared" si="33"/>
        <v>001</v>
      </c>
      <c r="F446" s="141" t="s">
        <v>4326</v>
      </c>
      <c r="G446" s="141" t="str">
        <f t="shared" si="39"/>
        <v>0306</v>
      </c>
      <c r="H446" s="141" t="s">
        <v>1626</v>
      </c>
      <c r="I446" s="141" t="str">
        <f t="shared" si="34"/>
        <v>999</v>
      </c>
      <c r="J446" s="141" t="s">
        <v>4327</v>
      </c>
      <c r="K446" s="141">
        <v>1244</v>
      </c>
      <c r="L446" s="141">
        <v>4</v>
      </c>
      <c r="M446" s="141">
        <v>0</v>
      </c>
      <c r="N446" s="141">
        <v>3000</v>
      </c>
      <c r="O446" s="141" t="s">
        <v>4343</v>
      </c>
      <c r="P446" s="141"/>
    </row>
    <row r="447" spans="1:16" ht="25.5">
      <c r="A447" s="141">
        <v>76807</v>
      </c>
      <c r="B447" s="141" t="s">
        <v>4325</v>
      </c>
      <c r="C447" s="142">
        <v>41201</v>
      </c>
      <c r="D447" s="141">
        <v>1164</v>
      </c>
      <c r="E447" s="141" t="str">
        <f t="shared" si="33"/>
        <v>001</v>
      </c>
      <c r="F447" s="141" t="s">
        <v>4326</v>
      </c>
      <c r="G447" s="141" t="str">
        <f t="shared" ref="G447:G468" si="40">"0307"</f>
        <v>0307</v>
      </c>
      <c r="H447" s="141" t="s">
        <v>3436</v>
      </c>
      <c r="I447" s="141" t="str">
        <f t="shared" si="34"/>
        <v>999</v>
      </c>
      <c r="J447" s="141" t="s">
        <v>4327</v>
      </c>
      <c r="K447" s="141">
        <v>2983</v>
      </c>
      <c r="L447" s="141">
        <v>1</v>
      </c>
      <c r="M447" s="141">
        <v>0</v>
      </c>
      <c r="N447" s="141">
        <v>10000</v>
      </c>
      <c r="O447" s="141" t="s">
        <v>4328</v>
      </c>
      <c r="P447" s="141" t="s">
        <v>4374</v>
      </c>
    </row>
    <row r="448" spans="1:16" ht="25.5">
      <c r="A448" s="141">
        <v>76807</v>
      </c>
      <c r="B448" s="141" t="s">
        <v>4325</v>
      </c>
      <c r="C448" s="142">
        <v>41201</v>
      </c>
      <c r="D448" s="141">
        <v>1164</v>
      </c>
      <c r="E448" s="141" t="str">
        <f t="shared" si="33"/>
        <v>001</v>
      </c>
      <c r="F448" s="141" t="s">
        <v>4326</v>
      </c>
      <c r="G448" s="141" t="str">
        <f t="shared" si="40"/>
        <v>0307</v>
      </c>
      <c r="H448" s="141" t="s">
        <v>3436</v>
      </c>
      <c r="I448" s="141" t="str">
        <f t="shared" si="34"/>
        <v>999</v>
      </c>
      <c r="J448" s="141" t="s">
        <v>4327</v>
      </c>
      <c r="K448" s="141">
        <v>2984</v>
      </c>
      <c r="L448" s="141">
        <v>1</v>
      </c>
      <c r="M448" s="141">
        <v>0</v>
      </c>
      <c r="N448" s="141">
        <v>89000</v>
      </c>
      <c r="O448" s="141" t="s">
        <v>4505</v>
      </c>
      <c r="P448" s="141" t="s">
        <v>4367</v>
      </c>
    </row>
    <row r="449" spans="1:16" ht="25.5">
      <c r="A449" s="141">
        <v>76807</v>
      </c>
      <c r="B449" s="141" t="s">
        <v>4325</v>
      </c>
      <c r="C449" s="142">
        <v>41201</v>
      </c>
      <c r="D449" s="141">
        <v>1164</v>
      </c>
      <c r="E449" s="141" t="str">
        <f t="shared" si="33"/>
        <v>001</v>
      </c>
      <c r="F449" s="141" t="s">
        <v>4326</v>
      </c>
      <c r="G449" s="141" t="str">
        <f t="shared" si="40"/>
        <v>0307</v>
      </c>
      <c r="H449" s="141" t="s">
        <v>3436</v>
      </c>
      <c r="I449" s="141" t="str">
        <f t="shared" si="34"/>
        <v>999</v>
      </c>
      <c r="J449" s="141" t="s">
        <v>4327</v>
      </c>
      <c r="K449" s="141">
        <v>2985</v>
      </c>
      <c r="L449" s="141">
        <v>5</v>
      </c>
      <c r="M449" s="141">
        <v>0</v>
      </c>
      <c r="N449" s="141">
        <v>26000</v>
      </c>
      <c r="O449" s="141" t="s">
        <v>4334</v>
      </c>
      <c r="P449" s="141" t="s">
        <v>4444</v>
      </c>
    </row>
    <row r="450" spans="1:16" ht="25.5">
      <c r="A450" s="141">
        <v>76807</v>
      </c>
      <c r="B450" s="141" t="s">
        <v>4325</v>
      </c>
      <c r="C450" s="142">
        <v>41201</v>
      </c>
      <c r="D450" s="141">
        <v>1164</v>
      </c>
      <c r="E450" s="141" t="str">
        <f t="shared" ref="E450:E513" si="41">"001"</f>
        <v>001</v>
      </c>
      <c r="F450" s="141" t="s">
        <v>4326</v>
      </c>
      <c r="G450" s="141" t="str">
        <f t="shared" si="40"/>
        <v>0307</v>
      </c>
      <c r="H450" s="141" t="s">
        <v>3436</v>
      </c>
      <c r="I450" s="141" t="str">
        <f t="shared" ref="I450:I513" si="42">"999"</f>
        <v>999</v>
      </c>
      <c r="J450" s="141" t="s">
        <v>4327</v>
      </c>
      <c r="K450" s="141">
        <v>2986</v>
      </c>
      <c r="L450" s="141">
        <v>3</v>
      </c>
      <c r="M450" s="141">
        <v>0</v>
      </c>
      <c r="N450" s="141">
        <v>13000</v>
      </c>
      <c r="O450" s="141" t="s">
        <v>4357</v>
      </c>
      <c r="P450" s="141" t="s">
        <v>4362</v>
      </c>
    </row>
    <row r="451" spans="1:16" ht="25.5">
      <c r="A451" s="141">
        <v>76807</v>
      </c>
      <c r="B451" s="141" t="s">
        <v>4325</v>
      </c>
      <c r="C451" s="142">
        <v>41201</v>
      </c>
      <c r="D451" s="141">
        <v>1164</v>
      </c>
      <c r="E451" s="141" t="str">
        <f t="shared" si="41"/>
        <v>001</v>
      </c>
      <c r="F451" s="141" t="s">
        <v>4326</v>
      </c>
      <c r="G451" s="141" t="str">
        <f t="shared" si="40"/>
        <v>0307</v>
      </c>
      <c r="H451" s="141" t="s">
        <v>3436</v>
      </c>
      <c r="I451" s="141" t="str">
        <f t="shared" si="42"/>
        <v>999</v>
      </c>
      <c r="J451" s="141" t="s">
        <v>4327</v>
      </c>
      <c r="K451" s="141">
        <v>2987</v>
      </c>
      <c r="L451" s="141">
        <v>12</v>
      </c>
      <c r="M451" s="141">
        <v>0</v>
      </c>
      <c r="N451" s="141">
        <v>26000</v>
      </c>
      <c r="O451" s="141" t="s">
        <v>4408</v>
      </c>
      <c r="P451" s="141"/>
    </row>
    <row r="452" spans="1:16" ht="25.5">
      <c r="A452" s="141">
        <v>76807</v>
      </c>
      <c r="B452" s="141" t="s">
        <v>4325</v>
      </c>
      <c r="C452" s="142">
        <v>41201</v>
      </c>
      <c r="D452" s="141">
        <v>1164</v>
      </c>
      <c r="E452" s="141" t="str">
        <f t="shared" si="41"/>
        <v>001</v>
      </c>
      <c r="F452" s="141" t="s">
        <v>4326</v>
      </c>
      <c r="G452" s="141" t="str">
        <f t="shared" si="40"/>
        <v>0307</v>
      </c>
      <c r="H452" s="141" t="s">
        <v>3436</v>
      </c>
      <c r="I452" s="141" t="str">
        <f t="shared" si="42"/>
        <v>999</v>
      </c>
      <c r="J452" s="141" t="s">
        <v>4327</v>
      </c>
      <c r="K452" s="141">
        <v>2988</v>
      </c>
      <c r="L452" s="141">
        <v>1</v>
      </c>
      <c r="M452" s="141">
        <v>0</v>
      </c>
      <c r="N452" s="141">
        <v>39000</v>
      </c>
      <c r="O452" s="141" t="s">
        <v>4553</v>
      </c>
      <c r="P452" s="141" t="s">
        <v>4554</v>
      </c>
    </row>
    <row r="453" spans="1:16" ht="25.5">
      <c r="A453" s="141">
        <v>76807</v>
      </c>
      <c r="B453" s="141" t="s">
        <v>4325</v>
      </c>
      <c r="C453" s="142">
        <v>41201</v>
      </c>
      <c r="D453" s="141">
        <v>1164</v>
      </c>
      <c r="E453" s="141" t="str">
        <f t="shared" si="41"/>
        <v>001</v>
      </c>
      <c r="F453" s="141" t="s">
        <v>4326</v>
      </c>
      <c r="G453" s="141" t="str">
        <f t="shared" si="40"/>
        <v>0307</v>
      </c>
      <c r="H453" s="141" t="s">
        <v>3436</v>
      </c>
      <c r="I453" s="141" t="str">
        <f t="shared" si="42"/>
        <v>999</v>
      </c>
      <c r="J453" s="141" t="s">
        <v>4327</v>
      </c>
      <c r="K453" s="141">
        <v>2989</v>
      </c>
      <c r="L453" s="141">
        <v>1</v>
      </c>
      <c r="M453" s="141">
        <v>0</v>
      </c>
      <c r="N453" s="141">
        <v>3000</v>
      </c>
      <c r="O453" s="141" t="s">
        <v>4405</v>
      </c>
      <c r="P453" s="141" t="s">
        <v>4372</v>
      </c>
    </row>
    <row r="454" spans="1:16" ht="25.5">
      <c r="A454" s="141">
        <v>76807</v>
      </c>
      <c r="B454" s="141" t="s">
        <v>4325</v>
      </c>
      <c r="C454" s="142">
        <v>41201</v>
      </c>
      <c r="D454" s="141">
        <v>1164</v>
      </c>
      <c r="E454" s="141" t="str">
        <f t="shared" si="41"/>
        <v>001</v>
      </c>
      <c r="F454" s="141" t="s">
        <v>4326</v>
      </c>
      <c r="G454" s="141" t="str">
        <f t="shared" si="40"/>
        <v>0307</v>
      </c>
      <c r="H454" s="141" t="s">
        <v>3436</v>
      </c>
      <c r="I454" s="141" t="str">
        <f t="shared" si="42"/>
        <v>999</v>
      </c>
      <c r="J454" s="141" t="s">
        <v>4327</v>
      </c>
      <c r="K454" s="141">
        <v>2990</v>
      </c>
      <c r="L454" s="141">
        <v>1</v>
      </c>
      <c r="M454" s="141">
        <v>0</v>
      </c>
      <c r="N454" s="141">
        <v>3000</v>
      </c>
      <c r="O454" s="141" t="s">
        <v>4405</v>
      </c>
      <c r="P454" s="141" t="s">
        <v>4372</v>
      </c>
    </row>
    <row r="455" spans="1:16" ht="25.5">
      <c r="A455" s="141">
        <v>76807</v>
      </c>
      <c r="B455" s="141" t="s">
        <v>4325</v>
      </c>
      <c r="C455" s="142">
        <v>41201</v>
      </c>
      <c r="D455" s="141">
        <v>1164</v>
      </c>
      <c r="E455" s="141" t="str">
        <f t="shared" si="41"/>
        <v>001</v>
      </c>
      <c r="F455" s="141" t="s">
        <v>4326</v>
      </c>
      <c r="G455" s="141" t="str">
        <f t="shared" si="40"/>
        <v>0307</v>
      </c>
      <c r="H455" s="141" t="s">
        <v>3436</v>
      </c>
      <c r="I455" s="141" t="str">
        <f t="shared" si="42"/>
        <v>999</v>
      </c>
      <c r="J455" s="141" t="s">
        <v>4327</v>
      </c>
      <c r="K455" s="141">
        <v>2991</v>
      </c>
      <c r="L455" s="141">
        <v>1</v>
      </c>
      <c r="M455" s="141">
        <v>0</v>
      </c>
      <c r="N455" s="141">
        <v>3000</v>
      </c>
      <c r="O455" s="141" t="s">
        <v>4405</v>
      </c>
      <c r="P455" s="141" t="s">
        <v>4372</v>
      </c>
    </row>
    <row r="456" spans="1:16" ht="25.5">
      <c r="A456" s="141">
        <v>76807</v>
      </c>
      <c r="B456" s="141" t="s">
        <v>4325</v>
      </c>
      <c r="C456" s="142">
        <v>41201</v>
      </c>
      <c r="D456" s="141">
        <v>1164</v>
      </c>
      <c r="E456" s="141" t="str">
        <f t="shared" si="41"/>
        <v>001</v>
      </c>
      <c r="F456" s="141" t="s">
        <v>4326</v>
      </c>
      <c r="G456" s="141" t="str">
        <f t="shared" si="40"/>
        <v>0307</v>
      </c>
      <c r="H456" s="141" t="s">
        <v>3436</v>
      </c>
      <c r="I456" s="141" t="str">
        <f t="shared" si="42"/>
        <v>999</v>
      </c>
      <c r="J456" s="141" t="s">
        <v>4327</v>
      </c>
      <c r="K456" s="141">
        <v>2992</v>
      </c>
      <c r="L456" s="141">
        <v>1</v>
      </c>
      <c r="M456" s="141">
        <v>0</v>
      </c>
      <c r="N456" s="141">
        <v>4000</v>
      </c>
      <c r="O456" s="141" t="s">
        <v>4371</v>
      </c>
      <c r="P456" s="141" t="s">
        <v>4372</v>
      </c>
    </row>
    <row r="457" spans="1:16" ht="25.5">
      <c r="A457" s="141">
        <v>76807</v>
      </c>
      <c r="B457" s="141" t="s">
        <v>4325</v>
      </c>
      <c r="C457" s="142">
        <v>41201</v>
      </c>
      <c r="D457" s="141">
        <v>1164</v>
      </c>
      <c r="E457" s="141" t="str">
        <f t="shared" si="41"/>
        <v>001</v>
      </c>
      <c r="F457" s="141" t="s">
        <v>4326</v>
      </c>
      <c r="G457" s="141" t="str">
        <f t="shared" si="40"/>
        <v>0307</v>
      </c>
      <c r="H457" s="141" t="s">
        <v>3436</v>
      </c>
      <c r="I457" s="141" t="str">
        <f t="shared" si="42"/>
        <v>999</v>
      </c>
      <c r="J457" s="141" t="s">
        <v>4327</v>
      </c>
      <c r="K457" s="141">
        <v>2993</v>
      </c>
      <c r="L457" s="141">
        <v>1</v>
      </c>
      <c r="M457" s="141">
        <v>0</v>
      </c>
      <c r="N457" s="141">
        <v>4000</v>
      </c>
      <c r="O457" s="141" t="s">
        <v>4371</v>
      </c>
      <c r="P457" s="141" t="s">
        <v>4372</v>
      </c>
    </row>
    <row r="458" spans="1:16" ht="25.5">
      <c r="A458" s="141">
        <v>76807</v>
      </c>
      <c r="B458" s="141" t="s">
        <v>4325</v>
      </c>
      <c r="C458" s="142">
        <v>41201</v>
      </c>
      <c r="D458" s="141">
        <v>1164</v>
      </c>
      <c r="E458" s="141" t="str">
        <f t="shared" si="41"/>
        <v>001</v>
      </c>
      <c r="F458" s="141" t="s">
        <v>4326</v>
      </c>
      <c r="G458" s="141" t="str">
        <f t="shared" si="40"/>
        <v>0307</v>
      </c>
      <c r="H458" s="141" t="s">
        <v>3436</v>
      </c>
      <c r="I458" s="141" t="str">
        <f t="shared" si="42"/>
        <v>999</v>
      </c>
      <c r="J458" s="141" t="s">
        <v>4327</v>
      </c>
      <c r="K458" s="141">
        <v>2994</v>
      </c>
      <c r="L458" s="141">
        <v>2</v>
      </c>
      <c r="M458" s="141">
        <v>0</v>
      </c>
      <c r="N458" s="141">
        <v>24000</v>
      </c>
      <c r="O458" s="141" t="s">
        <v>4357</v>
      </c>
      <c r="P458" s="141" t="s">
        <v>4555</v>
      </c>
    </row>
    <row r="459" spans="1:16" ht="25.5">
      <c r="A459" s="141">
        <v>76807</v>
      </c>
      <c r="B459" s="141" t="s">
        <v>4325</v>
      </c>
      <c r="C459" s="142">
        <v>41201</v>
      </c>
      <c r="D459" s="141">
        <v>1164</v>
      </c>
      <c r="E459" s="141" t="str">
        <f t="shared" si="41"/>
        <v>001</v>
      </c>
      <c r="F459" s="141" t="s">
        <v>4326</v>
      </c>
      <c r="G459" s="141" t="str">
        <f t="shared" si="40"/>
        <v>0307</v>
      </c>
      <c r="H459" s="141" t="s">
        <v>3436</v>
      </c>
      <c r="I459" s="141" t="str">
        <f t="shared" si="42"/>
        <v>999</v>
      </c>
      <c r="J459" s="141" t="s">
        <v>4327</v>
      </c>
      <c r="K459" s="141">
        <v>2995</v>
      </c>
      <c r="L459" s="141">
        <v>2</v>
      </c>
      <c r="M459" s="141">
        <v>0</v>
      </c>
      <c r="N459" s="141">
        <v>19000</v>
      </c>
      <c r="O459" s="141" t="s">
        <v>4357</v>
      </c>
      <c r="P459" s="141" t="s">
        <v>4546</v>
      </c>
    </row>
    <row r="460" spans="1:16" ht="25.5">
      <c r="A460" s="141">
        <v>76807</v>
      </c>
      <c r="B460" s="141" t="s">
        <v>4325</v>
      </c>
      <c r="C460" s="142">
        <v>41201</v>
      </c>
      <c r="D460" s="141">
        <v>1164</v>
      </c>
      <c r="E460" s="141" t="str">
        <f t="shared" si="41"/>
        <v>001</v>
      </c>
      <c r="F460" s="141" t="s">
        <v>4326</v>
      </c>
      <c r="G460" s="141" t="str">
        <f t="shared" si="40"/>
        <v>0307</v>
      </c>
      <c r="H460" s="141" t="s">
        <v>3436</v>
      </c>
      <c r="I460" s="141" t="str">
        <f t="shared" si="42"/>
        <v>999</v>
      </c>
      <c r="J460" s="141" t="s">
        <v>4327</v>
      </c>
      <c r="K460" s="141">
        <v>2996</v>
      </c>
      <c r="L460" s="141">
        <v>1</v>
      </c>
      <c r="M460" s="141">
        <v>0</v>
      </c>
      <c r="N460" s="141">
        <v>1000</v>
      </c>
      <c r="O460" s="141" t="s">
        <v>4434</v>
      </c>
      <c r="P460" s="141"/>
    </row>
    <row r="461" spans="1:16" ht="25.5">
      <c r="A461" s="141">
        <v>76807</v>
      </c>
      <c r="B461" s="141" t="s">
        <v>4325</v>
      </c>
      <c r="C461" s="142">
        <v>41201</v>
      </c>
      <c r="D461" s="141">
        <v>1164</v>
      </c>
      <c r="E461" s="141" t="str">
        <f t="shared" si="41"/>
        <v>001</v>
      </c>
      <c r="F461" s="141" t="s">
        <v>4326</v>
      </c>
      <c r="G461" s="141" t="str">
        <f t="shared" si="40"/>
        <v>0307</v>
      </c>
      <c r="H461" s="141" t="s">
        <v>3436</v>
      </c>
      <c r="I461" s="141" t="str">
        <f t="shared" si="42"/>
        <v>999</v>
      </c>
      <c r="J461" s="141" t="s">
        <v>4327</v>
      </c>
      <c r="K461" s="141">
        <v>2997</v>
      </c>
      <c r="L461" s="141">
        <v>1</v>
      </c>
      <c r="M461" s="141">
        <v>0</v>
      </c>
      <c r="N461" s="141">
        <v>4000</v>
      </c>
      <c r="O461" s="141" t="s">
        <v>4540</v>
      </c>
      <c r="P461" s="141"/>
    </row>
    <row r="462" spans="1:16" ht="25.5">
      <c r="A462" s="141">
        <v>76807</v>
      </c>
      <c r="B462" s="141" t="s">
        <v>4325</v>
      </c>
      <c r="C462" s="142">
        <v>41201</v>
      </c>
      <c r="D462" s="141">
        <v>1164</v>
      </c>
      <c r="E462" s="141" t="str">
        <f t="shared" si="41"/>
        <v>001</v>
      </c>
      <c r="F462" s="141" t="s">
        <v>4326</v>
      </c>
      <c r="G462" s="141" t="str">
        <f t="shared" si="40"/>
        <v>0307</v>
      </c>
      <c r="H462" s="141" t="s">
        <v>3436</v>
      </c>
      <c r="I462" s="141" t="str">
        <f t="shared" si="42"/>
        <v>999</v>
      </c>
      <c r="J462" s="141" t="s">
        <v>4327</v>
      </c>
      <c r="K462" s="141">
        <v>2998</v>
      </c>
      <c r="L462" s="141">
        <v>1</v>
      </c>
      <c r="M462" s="141">
        <v>0</v>
      </c>
      <c r="N462" s="141">
        <v>1000</v>
      </c>
      <c r="O462" s="141" t="s">
        <v>4381</v>
      </c>
      <c r="P462" s="141"/>
    </row>
    <row r="463" spans="1:16" ht="25.5">
      <c r="A463" s="141">
        <v>76807</v>
      </c>
      <c r="B463" s="141" t="s">
        <v>4325</v>
      </c>
      <c r="C463" s="142">
        <v>41201</v>
      </c>
      <c r="D463" s="141">
        <v>1164</v>
      </c>
      <c r="E463" s="141" t="str">
        <f t="shared" si="41"/>
        <v>001</v>
      </c>
      <c r="F463" s="141" t="s">
        <v>4326</v>
      </c>
      <c r="G463" s="141" t="str">
        <f t="shared" si="40"/>
        <v>0307</v>
      </c>
      <c r="H463" s="141" t="s">
        <v>3436</v>
      </c>
      <c r="I463" s="141" t="str">
        <f t="shared" si="42"/>
        <v>999</v>
      </c>
      <c r="J463" s="141" t="s">
        <v>4327</v>
      </c>
      <c r="K463" s="141">
        <v>2999</v>
      </c>
      <c r="L463" s="141">
        <v>1</v>
      </c>
      <c r="M463" s="141">
        <v>0</v>
      </c>
      <c r="N463" s="141">
        <v>6000</v>
      </c>
      <c r="O463" s="141" t="s">
        <v>4407</v>
      </c>
      <c r="P463" s="141"/>
    </row>
    <row r="464" spans="1:16" ht="25.5">
      <c r="A464" s="141">
        <v>76807</v>
      </c>
      <c r="B464" s="141" t="s">
        <v>4325</v>
      </c>
      <c r="C464" s="142">
        <v>41201</v>
      </c>
      <c r="D464" s="141">
        <v>1164</v>
      </c>
      <c r="E464" s="141" t="str">
        <f t="shared" si="41"/>
        <v>001</v>
      </c>
      <c r="F464" s="141" t="s">
        <v>4326</v>
      </c>
      <c r="G464" s="141" t="str">
        <f t="shared" si="40"/>
        <v>0307</v>
      </c>
      <c r="H464" s="141" t="s">
        <v>3436</v>
      </c>
      <c r="I464" s="141" t="str">
        <f t="shared" si="42"/>
        <v>999</v>
      </c>
      <c r="J464" s="141" t="s">
        <v>4327</v>
      </c>
      <c r="K464" s="141">
        <v>3000</v>
      </c>
      <c r="L464" s="141">
        <v>1</v>
      </c>
      <c r="M464" s="141">
        <v>0</v>
      </c>
      <c r="N464" s="141">
        <v>2000</v>
      </c>
      <c r="O464" s="141" t="s">
        <v>4388</v>
      </c>
      <c r="P464" s="141" t="s">
        <v>4556</v>
      </c>
    </row>
    <row r="465" spans="1:16" ht="25.5">
      <c r="A465" s="141">
        <v>76807</v>
      </c>
      <c r="B465" s="141" t="s">
        <v>4325</v>
      </c>
      <c r="C465" s="142">
        <v>41201</v>
      </c>
      <c r="D465" s="141">
        <v>1164</v>
      </c>
      <c r="E465" s="141" t="str">
        <f t="shared" si="41"/>
        <v>001</v>
      </c>
      <c r="F465" s="141" t="s">
        <v>4326</v>
      </c>
      <c r="G465" s="141" t="str">
        <f t="shared" si="40"/>
        <v>0307</v>
      </c>
      <c r="H465" s="141" t="s">
        <v>3436</v>
      </c>
      <c r="I465" s="141" t="str">
        <f t="shared" si="42"/>
        <v>999</v>
      </c>
      <c r="J465" s="141" t="s">
        <v>4327</v>
      </c>
      <c r="K465" s="141">
        <v>3023</v>
      </c>
      <c r="L465" s="141">
        <v>3</v>
      </c>
      <c r="M465" s="141">
        <v>0</v>
      </c>
      <c r="N465" s="141">
        <v>13000</v>
      </c>
      <c r="O465" s="141" t="s">
        <v>4406</v>
      </c>
      <c r="P465" s="141"/>
    </row>
    <row r="466" spans="1:16" ht="25.5">
      <c r="A466" s="141">
        <v>76807</v>
      </c>
      <c r="B466" s="141" t="s">
        <v>4325</v>
      </c>
      <c r="C466" s="142">
        <v>41201</v>
      </c>
      <c r="D466" s="141">
        <v>1164</v>
      </c>
      <c r="E466" s="141" t="str">
        <f t="shared" si="41"/>
        <v>001</v>
      </c>
      <c r="F466" s="141" t="s">
        <v>4326</v>
      </c>
      <c r="G466" s="141" t="str">
        <f t="shared" si="40"/>
        <v>0307</v>
      </c>
      <c r="H466" s="141" t="s">
        <v>3436</v>
      </c>
      <c r="I466" s="141" t="str">
        <f t="shared" si="42"/>
        <v>999</v>
      </c>
      <c r="J466" s="141" t="s">
        <v>4327</v>
      </c>
      <c r="K466" s="141">
        <v>3024</v>
      </c>
      <c r="L466" s="141">
        <v>1</v>
      </c>
      <c r="M466" s="141">
        <v>0</v>
      </c>
      <c r="N466" s="141">
        <v>9000</v>
      </c>
      <c r="O466" s="141" t="s">
        <v>4388</v>
      </c>
      <c r="P466" s="141" t="s">
        <v>4557</v>
      </c>
    </row>
    <row r="467" spans="1:16" ht="25.5">
      <c r="A467" s="141">
        <v>76807</v>
      </c>
      <c r="B467" s="141" t="s">
        <v>4325</v>
      </c>
      <c r="C467" s="142">
        <v>41201</v>
      </c>
      <c r="D467" s="141">
        <v>1164</v>
      </c>
      <c r="E467" s="141" t="str">
        <f t="shared" si="41"/>
        <v>001</v>
      </c>
      <c r="F467" s="141" t="s">
        <v>4326</v>
      </c>
      <c r="G467" s="141" t="str">
        <f t="shared" si="40"/>
        <v>0307</v>
      </c>
      <c r="H467" s="141" t="s">
        <v>3436</v>
      </c>
      <c r="I467" s="141" t="str">
        <f t="shared" si="42"/>
        <v>999</v>
      </c>
      <c r="J467" s="141" t="s">
        <v>4327</v>
      </c>
      <c r="K467" s="141">
        <v>3025</v>
      </c>
      <c r="L467" s="141">
        <v>1</v>
      </c>
      <c r="M467" s="141">
        <v>0</v>
      </c>
      <c r="N467" s="141">
        <v>27000</v>
      </c>
      <c r="O467" s="141" t="s">
        <v>4337</v>
      </c>
      <c r="P467" s="141" t="s">
        <v>4558</v>
      </c>
    </row>
    <row r="468" spans="1:16" ht="25.5">
      <c r="A468" s="141">
        <v>76807</v>
      </c>
      <c r="B468" s="141" t="s">
        <v>4325</v>
      </c>
      <c r="C468" s="142">
        <v>41201</v>
      </c>
      <c r="D468" s="141">
        <v>1164</v>
      </c>
      <c r="E468" s="141" t="str">
        <f t="shared" si="41"/>
        <v>001</v>
      </c>
      <c r="F468" s="141" t="s">
        <v>4326</v>
      </c>
      <c r="G468" s="141" t="str">
        <f t="shared" si="40"/>
        <v>0307</v>
      </c>
      <c r="H468" s="141" t="s">
        <v>3436</v>
      </c>
      <c r="I468" s="141" t="str">
        <f t="shared" si="42"/>
        <v>999</v>
      </c>
      <c r="J468" s="141" t="s">
        <v>4327</v>
      </c>
      <c r="K468" s="141">
        <v>3029</v>
      </c>
      <c r="L468" s="141">
        <v>2</v>
      </c>
      <c r="M468" s="141">
        <v>0</v>
      </c>
      <c r="N468" s="141">
        <v>13000</v>
      </c>
      <c r="O468" s="141" t="s">
        <v>4500</v>
      </c>
      <c r="P468" s="141"/>
    </row>
    <row r="469" spans="1:16" ht="25.5">
      <c r="A469" s="141">
        <v>76807</v>
      </c>
      <c r="B469" s="141" t="s">
        <v>4325</v>
      </c>
      <c r="C469" s="142">
        <v>41201</v>
      </c>
      <c r="D469" s="141">
        <v>437</v>
      </c>
      <c r="E469" s="141" t="str">
        <f t="shared" si="41"/>
        <v>001</v>
      </c>
      <c r="F469" s="141" t="s">
        <v>4326</v>
      </c>
      <c r="G469" s="141" t="str">
        <f>"0308"</f>
        <v>0308</v>
      </c>
      <c r="H469" s="141" t="s">
        <v>2777</v>
      </c>
      <c r="I469" s="141" t="str">
        <f t="shared" si="42"/>
        <v>999</v>
      </c>
      <c r="J469" s="141" t="s">
        <v>4327</v>
      </c>
      <c r="K469" s="141">
        <v>1278</v>
      </c>
      <c r="L469" s="141">
        <v>12</v>
      </c>
      <c r="M469" s="141">
        <v>0</v>
      </c>
      <c r="N469" s="141">
        <v>53000</v>
      </c>
      <c r="O469" s="141" t="s">
        <v>4334</v>
      </c>
      <c r="P469" s="141" t="s">
        <v>4335</v>
      </c>
    </row>
    <row r="470" spans="1:16" ht="25.5">
      <c r="A470" s="141">
        <v>76807</v>
      </c>
      <c r="B470" s="141" t="s">
        <v>4325</v>
      </c>
      <c r="C470" s="142">
        <v>41201</v>
      </c>
      <c r="D470" s="141">
        <v>437</v>
      </c>
      <c r="E470" s="141" t="str">
        <f t="shared" si="41"/>
        <v>001</v>
      </c>
      <c r="F470" s="141" t="s">
        <v>4326</v>
      </c>
      <c r="G470" s="141" t="str">
        <f>"0308"</f>
        <v>0308</v>
      </c>
      <c r="H470" s="141" t="s">
        <v>2777</v>
      </c>
      <c r="I470" s="141" t="str">
        <f t="shared" si="42"/>
        <v>999</v>
      </c>
      <c r="J470" s="141" t="s">
        <v>4327</v>
      </c>
      <c r="K470" s="141">
        <v>1279</v>
      </c>
      <c r="L470" s="141">
        <v>9</v>
      </c>
      <c r="M470" s="141">
        <v>0</v>
      </c>
      <c r="N470" s="141">
        <v>131000</v>
      </c>
      <c r="O470" s="141" t="s">
        <v>4334</v>
      </c>
      <c r="P470" s="141" t="s">
        <v>4495</v>
      </c>
    </row>
    <row r="471" spans="1:16" ht="25.5">
      <c r="A471" s="141">
        <v>76807</v>
      </c>
      <c r="B471" s="141" t="s">
        <v>4325</v>
      </c>
      <c r="C471" s="142">
        <v>41201</v>
      </c>
      <c r="D471" s="141">
        <v>437</v>
      </c>
      <c r="E471" s="141" t="str">
        <f t="shared" si="41"/>
        <v>001</v>
      </c>
      <c r="F471" s="141" t="s">
        <v>4326</v>
      </c>
      <c r="G471" s="141" t="str">
        <f>"0308"</f>
        <v>0308</v>
      </c>
      <c r="H471" s="141" t="s">
        <v>2777</v>
      </c>
      <c r="I471" s="141" t="str">
        <f t="shared" si="42"/>
        <v>999</v>
      </c>
      <c r="J471" s="141" t="s">
        <v>4327</v>
      </c>
      <c r="K471" s="141">
        <v>1280</v>
      </c>
      <c r="L471" s="141">
        <v>9</v>
      </c>
      <c r="M471" s="141">
        <v>0</v>
      </c>
      <c r="N471" s="141">
        <v>92000</v>
      </c>
      <c r="O471" s="141" t="s">
        <v>4334</v>
      </c>
      <c r="P471" s="141" t="s">
        <v>4477</v>
      </c>
    </row>
    <row r="472" spans="1:16" ht="25.5">
      <c r="A472" s="141">
        <v>76807</v>
      </c>
      <c r="B472" s="141" t="s">
        <v>4325</v>
      </c>
      <c r="C472" s="142">
        <v>41201</v>
      </c>
      <c r="D472" s="141">
        <v>381</v>
      </c>
      <c r="E472" s="141" t="str">
        <f t="shared" si="41"/>
        <v>001</v>
      </c>
      <c r="F472" s="141" t="s">
        <v>4326</v>
      </c>
      <c r="G472" s="141" t="str">
        <f t="shared" ref="G472:G509" si="43">"0309"</f>
        <v>0309</v>
      </c>
      <c r="H472" s="141" t="s">
        <v>2870</v>
      </c>
      <c r="I472" s="141" t="str">
        <f t="shared" si="42"/>
        <v>999</v>
      </c>
      <c r="J472" s="141" t="s">
        <v>4327</v>
      </c>
      <c r="K472" s="141">
        <v>895</v>
      </c>
      <c r="L472" s="141">
        <v>1</v>
      </c>
      <c r="M472" s="141">
        <v>0</v>
      </c>
      <c r="N472" s="141">
        <v>3000</v>
      </c>
      <c r="O472" s="141" t="s">
        <v>4351</v>
      </c>
      <c r="P472" s="141" t="s">
        <v>4449</v>
      </c>
    </row>
    <row r="473" spans="1:16" ht="25.5">
      <c r="A473" s="141">
        <v>76807</v>
      </c>
      <c r="B473" s="141" t="s">
        <v>4325</v>
      </c>
      <c r="C473" s="142">
        <v>41201</v>
      </c>
      <c r="D473" s="141">
        <v>381</v>
      </c>
      <c r="E473" s="141" t="str">
        <f t="shared" si="41"/>
        <v>001</v>
      </c>
      <c r="F473" s="141" t="s">
        <v>4326</v>
      </c>
      <c r="G473" s="141" t="str">
        <f t="shared" si="43"/>
        <v>0309</v>
      </c>
      <c r="H473" s="141" t="s">
        <v>2870</v>
      </c>
      <c r="I473" s="141" t="str">
        <f t="shared" si="42"/>
        <v>999</v>
      </c>
      <c r="J473" s="141" t="s">
        <v>4327</v>
      </c>
      <c r="K473" s="141">
        <v>896</v>
      </c>
      <c r="L473" s="141">
        <v>1</v>
      </c>
      <c r="M473" s="141">
        <v>0</v>
      </c>
      <c r="N473" s="141">
        <v>28000</v>
      </c>
      <c r="O473" s="141" t="s">
        <v>4337</v>
      </c>
      <c r="P473" s="141" t="s">
        <v>4559</v>
      </c>
    </row>
    <row r="474" spans="1:16" ht="25.5">
      <c r="A474" s="141">
        <v>76807</v>
      </c>
      <c r="B474" s="141" t="s">
        <v>4325</v>
      </c>
      <c r="C474" s="142">
        <v>41201</v>
      </c>
      <c r="D474" s="141">
        <v>381</v>
      </c>
      <c r="E474" s="141" t="str">
        <f t="shared" si="41"/>
        <v>001</v>
      </c>
      <c r="F474" s="141" t="s">
        <v>4326</v>
      </c>
      <c r="G474" s="141" t="str">
        <f t="shared" si="43"/>
        <v>0309</v>
      </c>
      <c r="H474" s="141" t="s">
        <v>2870</v>
      </c>
      <c r="I474" s="141" t="str">
        <f t="shared" si="42"/>
        <v>999</v>
      </c>
      <c r="J474" s="141" t="s">
        <v>4327</v>
      </c>
      <c r="K474" s="141">
        <v>897</v>
      </c>
      <c r="L474" s="141">
        <v>1</v>
      </c>
      <c r="M474" s="141">
        <v>0</v>
      </c>
      <c r="N474" s="141">
        <v>11000</v>
      </c>
      <c r="O474" s="141" t="s">
        <v>4328</v>
      </c>
      <c r="P474" s="141" t="s">
        <v>4428</v>
      </c>
    </row>
    <row r="475" spans="1:16" ht="25.5">
      <c r="A475" s="141">
        <v>76807</v>
      </c>
      <c r="B475" s="141" t="s">
        <v>4325</v>
      </c>
      <c r="C475" s="142">
        <v>41201</v>
      </c>
      <c r="D475" s="141">
        <v>381</v>
      </c>
      <c r="E475" s="141" t="str">
        <f t="shared" si="41"/>
        <v>001</v>
      </c>
      <c r="F475" s="141" t="s">
        <v>4326</v>
      </c>
      <c r="G475" s="141" t="str">
        <f t="shared" si="43"/>
        <v>0309</v>
      </c>
      <c r="H475" s="141" t="s">
        <v>2870</v>
      </c>
      <c r="I475" s="141" t="str">
        <f t="shared" si="42"/>
        <v>999</v>
      </c>
      <c r="J475" s="141" t="s">
        <v>4327</v>
      </c>
      <c r="K475" s="141">
        <v>898</v>
      </c>
      <c r="L475" s="141">
        <v>1</v>
      </c>
      <c r="M475" s="141">
        <v>0</v>
      </c>
      <c r="N475" s="141">
        <v>21000</v>
      </c>
      <c r="O475" s="141" t="s">
        <v>4388</v>
      </c>
      <c r="P475" s="141" t="s">
        <v>4560</v>
      </c>
    </row>
    <row r="476" spans="1:16" ht="25.5">
      <c r="A476" s="141">
        <v>76807</v>
      </c>
      <c r="B476" s="141" t="s">
        <v>4325</v>
      </c>
      <c r="C476" s="142">
        <v>41201</v>
      </c>
      <c r="D476" s="141">
        <v>381</v>
      </c>
      <c r="E476" s="141" t="str">
        <f t="shared" si="41"/>
        <v>001</v>
      </c>
      <c r="F476" s="141" t="s">
        <v>4326</v>
      </c>
      <c r="G476" s="141" t="str">
        <f t="shared" si="43"/>
        <v>0309</v>
      </c>
      <c r="H476" s="141" t="s">
        <v>2870</v>
      </c>
      <c r="I476" s="141" t="str">
        <f t="shared" si="42"/>
        <v>999</v>
      </c>
      <c r="J476" s="141" t="s">
        <v>4327</v>
      </c>
      <c r="K476" s="141">
        <v>899</v>
      </c>
      <c r="L476" s="141">
        <v>1</v>
      </c>
      <c r="M476" s="141">
        <v>0</v>
      </c>
      <c r="N476" s="141">
        <v>4000</v>
      </c>
      <c r="O476" s="141" t="s">
        <v>4330</v>
      </c>
      <c r="P476" s="141" t="s">
        <v>4348</v>
      </c>
    </row>
    <row r="477" spans="1:16" ht="25.5">
      <c r="A477" s="141">
        <v>76807</v>
      </c>
      <c r="B477" s="141" t="s">
        <v>4325</v>
      </c>
      <c r="C477" s="142">
        <v>41201</v>
      </c>
      <c r="D477" s="141">
        <v>381</v>
      </c>
      <c r="E477" s="141" t="str">
        <f t="shared" si="41"/>
        <v>001</v>
      </c>
      <c r="F477" s="141" t="s">
        <v>4326</v>
      </c>
      <c r="G477" s="141" t="str">
        <f t="shared" si="43"/>
        <v>0309</v>
      </c>
      <c r="H477" s="141" t="s">
        <v>2870</v>
      </c>
      <c r="I477" s="141" t="str">
        <f t="shared" si="42"/>
        <v>999</v>
      </c>
      <c r="J477" s="141" t="s">
        <v>4327</v>
      </c>
      <c r="K477" s="141">
        <v>900</v>
      </c>
      <c r="L477" s="141">
        <v>1</v>
      </c>
      <c r="M477" s="141">
        <v>0</v>
      </c>
      <c r="N477" s="141">
        <v>4000</v>
      </c>
      <c r="O477" s="141" t="s">
        <v>4330</v>
      </c>
      <c r="P477" s="141" t="s">
        <v>4348</v>
      </c>
    </row>
    <row r="478" spans="1:16" ht="25.5">
      <c r="A478" s="141">
        <v>76807</v>
      </c>
      <c r="B478" s="141" t="s">
        <v>4325</v>
      </c>
      <c r="C478" s="142">
        <v>41201</v>
      </c>
      <c r="D478" s="141">
        <v>381</v>
      </c>
      <c r="E478" s="141" t="str">
        <f t="shared" si="41"/>
        <v>001</v>
      </c>
      <c r="F478" s="141" t="s">
        <v>4326</v>
      </c>
      <c r="G478" s="141" t="str">
        <f t="shared" si="43"/>
        <v>0309</v>
      </c>
      <c r="H478" s="141" t="s">
        <v>2870</v>
      </c>
      <c r="I478" s="141" t="str">
        <f t="shared" si="42"/>
        <v>999</v>
      </c>
      <c r="J478" s="141" t="s">
        <v>4327</v>
      </c>
      <c r="K478" s="141">
        <v>901</v>
      </c>
      <c r="L478" s="141">
        <v>1</v>
      </c>
      <c r="M478" s="141">
        <v>0</v>
      </c>
      <c r="N478" s="141">
        <v>9000</v>
      </c>
      <c r="O478" s="141" t="s">
        <v>4540</v>
      </c>
      <c r="P478" s="141"/>
    </row>
    <row r="479" spans="1:16" ht="25.5">
      <c r="A479" s="141">
        <v>76807</v>
      </c>
      <c r="B479" s="141" t="s">
        <v>4325</v>
      </c>
      <c r="C479" s="142">
        <v>41201</v>
      </c>
      <c r="D479" s="141">
        <v>381</v>
      </c>
      <c r="E479" s="141" t="str">
        <f t="shared" si="41"/>
        <v>001</v>
      </c>
      <c r="F479" s="141" t="s">
        <v>4326</v>
      </c>
      <c r="G479" s="141" t="str">
        <f t="shared" si="43"/>
        <v>0309</v>
      </c>
      <c r="H479" s="141" t="s">
        <v>2870</v>
      </c>
      <c r="I479" s="141" t="str">
        <f t="shared" si="42"/>
        <v>999</v>
      </c>
      <c r="J479" s="141" t="s">
        <v>4327</v>
      </c>
      <c r="K479" s="141">
        <v>902</v>
      </c>
      <c r="L479" s="141">
        <v>1</v>
      </c>
      <c r="M479" s="141">
        <v>0</v>
      </c>
      <c r="N479" s="141">
        <v>4000</v>
      </c>
      <c r="O479" s="141" t="s">
        <v>4540</v>
      </c>
      <c r="P479" s="141"/>
    </row>
    <row r="480" spans="1:16" ht="25.5">
      <c r="A480" s="141">
        <v>76807</v>
      </c>
      <c r="B480" s="141" t="s">
        <v>4325</v>
      </c>
      <c r="C480" s="142">
        <v>41201</v>
      </c>
      <c r="D480" s="141">
        <v>381</v>
      </c>
      <c r="E480" s="141" t="str">
        <f t="shared" si="41"/>
        <v>001</v>
      </c>
      <c r="F480" s="141" t="s">
        <v>4326</v>
      </c>
      <c r="G480" s="141" t="str">
        <f t="shared" si="43"/>
        <v>0309</v>
      </c>
      <c r="H480" s="141" t="s">
        <v>2870</v>
      </c>
      <c r="I480" s="141" t="str">
        <f t="shared" si="42"/>
        <v>999</v>
      </c>
      <c r="J480" s="141" t="s">
        <v>4327</v>
      </c>
      <c r="K480" s="141">
        <v>903</v>
      </c>
      <c r="L480" s="141">
        <v>1</v>
      </c>
      <c r="M480" s="141">
        <v>0</v>
      </c>
      <c r="N480" s="141">
        <v>7000</v>
      </c>
      <c r="O480" s="141" t="s">
        <v>4357</v>
      </c>
      <c r="P480" s="141" t="s">
        <v>4414</v>
      </c>
    </row>
    <row r="481" spans="1:16" ht="25.5">
      <c r="A481" s="141">
        <v>76807</v>
      </c>
      <c r="B481" s="141" t="s">
        <v>4325</v>
      </c>
      <c r="C481" s="142">
        <v>41201</v>
      </c>
      <c r="D481" s="141">
        <v>381</v>
      </c>
      <c r="E481" s="141" t="str">
        <f t="shared" si="41"/>
        <v>001</v>
      </c>
      <c r="F481" s="141" t="s">
        <v>4326</v>
      </c>
      <c r="G481" s="141" t="str">
        <f t="shared" si="43"/>
        <v>0309</v>
      </c>
      <c r="H481" s="141" t="s">
        <v>2870</v>
      </c>
      <c r="I481" s="141" t="str">
        <f t="shared" si="42"/>
        <v>999</v>
      </c>
      <c r="J481" s="141" t="s">
        <v>4327</v>
      </c>
      <c r="K481" s="141">
        <v>904</v>
      </c>
      <c r="L481" s="141">
        <v>2</v>
      </c>
      <c r="M481" s="141">
        <v>0</v>
      </c>
      <c r="N481" s="141">
        <v>18000</v>
      </c>
      <c r="O481" s="141" t="s">
        <v>4357</v>
      </c>
      <c r="P481" s="141" t="s">
        <v>4360</v>
      </c>
    </row>
    <row r="482" spans="1:16" ht="25.5">
      <c r="A482" s="141">
        <v>76807</v>
      </c>
      <c r="B482" s="141" t="s">
        <v>4325</v>
      </c>
      <c r="C482" s="142">
        <v>41201</v>
      </c>
      <c r="D482" s="141">
        <v>381</v>
      </c>
      <c r="E482" s="141" t="str">
        <f t="shared" si="41"/>
        <v>001</v>
      </c>
      <c r="F482" s="141" t="s">
        <v>4326</v>
      </c>
      <c r="G482" s="141" t="str">
        <f t="shared" si="43"/>
        <v>0309</v>
      </c>
      <c r="H482" s="141" t="s">
        <v>2870</v>
      </c>
      <c r="I482" s="141" t="str">
        <f t="shared" si="42"/>
        <v>999</v>
      </c>
      <c r="J482" s="141" t="s">
        <v>4327</v>
      </c>
      <c r="K482" s="141">
        <v>905</v>
      </c>
      <c r="L482" s="141">
        <v>2</v>
      </c>
      <c r="M482" s="141">
        <v>0</v>
      </c>
      <c r="N482" s="141">
        <v>16000</v>
      </c>
      <c r="O482" s="141" t="s">
        <v>4357</v>
      </c>
      <c r="P482" s="141" t="s">
        <v>4561</v>
      </c>
    </row>
    <row r="483" spans="1:16" ht="25.5">
      <c r="A483" s="141">
        <v>76807</v>
      </c>
      <c r="B483" s="141" t="s">
        <v>4325</v>
      </c>
      <c r="C483" s="142">
        <v>41201</v>
      </c>
      <c r="D483" s="141">
        <v>381</v>
      </c>
      <c r="E483" s="141" t="str">
        <f t="shared" si="41"/>
        <v>001</v>
      </c>
      <c r="F483" s="141" t="s">
        <v>4326</v>
      </c>
      <c r="G483" s="141" t="str">
        <f t="shared" si="43"/>
        <v>0309</v>
      </c>
      <c r="H483" s="141" t="s">
        <v>2870</v>
      </c>
      <c r="I483" s="141" t="str">
        <f t="shared" si="42"/>
        <v>999</v>
      </c>
      <c r="J483" s="141" t="s">
        <v>4327</v>
      </c>
      <c r="K483" s="141">
        <v>906</v>
      </c>
      <c r="L483" s="141">
        <v>6</v>
      </c>
      <c r="M483" s="141">
        <v>0</v>
      </c>
      <c r="N483" s="141">
        <v>53000</v>
      </c>
      <c r="O483" s="141" t="s">
        <v>4513</v>
      </c>
      <c r="P483" s="141" t="s">
        <v>4561</v>
      </c>
    </row>
    <row r="484" spans="1:16" ht="25.5">
      <c r="A484" s="141">
        <v>76807</v>
      </c>
      <c r="B484" s="141" t="s">
        <v>4325</v>
      </c>
      <c r="C484" s="142">
        <v>41201</v>
      </c>
      <c r="D484" s="141">
        <v>381</v>
      </c>
      <c r="E484" s="141" t="str">
        <f t="shared" si="41"/>
        <v>001</v>
      </c>
      <c r="F484" s="141" t="s">
        <v>4326</v>
      </c>
      <c r="G484" s="141" t="str">
        <f t="shared" si="43"/>
        <v>0309</v>
      </c>
      <c r="H484" s="141" t="s">
        <v>2870</v>
      </c>
      <c r="I484" s="141" t="str">
        <f t="shared" si="42"/>
        <v>999</v>
      </c>
      <c r="J484" s="141" t="s">
        <v>4327</v>
      </c>
      <c r="K484" s="141">
        <v>907</v>
      </c>
      <c r="L484" s="141">
        <v>2</v>
      </c>
      <c r="M484" s="141">
        <v>0</v>
      </c>
      <c r="N484" s="141">
        <v>22000</v>
      </c>
      <c r="O484" s="141" t="s">
        <v>4513</v>
      </c>
      <c r="P484" s="141" t="s">
        <v>4359</v>
      </c>
    </row>
    <row r="485" spans="1:16" ht="25.5">
      <c r="A485" s="141">
        <v>76807</v>
      </c>
      <c r="B485" s="141" t="s">
        <v>4325</v>
      </c>
      <c r="C485" s="142">
        <v>41201</v>
      </c>
      <c r="D485" s="141">
        <v>381</v>
      </c>
      <c r="E485" s="141" t="str">
        <f t="shared" si="41"/>
        <v>001</v>
      </c>
      <c r="F485" s="141" t="s">
        <v>4326</v>
      </c>
      <c r="G485" s="141" t="str">
        <f t="shared" si="43"/>
        <v>0309</v>
      </c>
      <c r="H485" s="141" t="s">
        <v>2870</v>
      </c>
      <c r="I485" s="141" t="str">
        <f t="shared" si="42"/>
        <v>999</v>
      </c>
      <c r="J485" s="141" t="s">
        <v>4327</v>
      </c>
      <c r="K485" s="141">
        <v>908</v>
      </c>
      <c r="L485" s="141">
        <v>2</v>
      </c>
      <c r="M485" s="141">
        <v>0</v>
      </c>
      <c r="N485" s="141">
        <v>19000</v>
      </c>
      <c r="O485" s="141" t="s">
        <v>4513</v>
      </c>
      <c r="P485" s="141" t="s">
        <v>4360</v>
      </c>
    </row>
    <row r="486" spans="1:16" ht="25.5">
      <c r="A486" s="141">
        <v>76807</v>
      </c>
      <c r="B486" s="141" t="s">
        <v>4325</v>
      </c>
      <c r="C486" s="142">
        <v>41201</v>
      </c>
      <c r="D486" s="141">
        <v>381</v>
      </c>
      <c r="E486" s="141" t="str">
        <f t="shared" si="41"/>
        <v>001</v>
      </c>
      <c r="F486" s="141" t="s">
        <v>4326</v>
      </c>
      <c r="G486" s="141" t="str">
        <f t="shared" si="43"/>
        <v>0309</v>
      </c>
      <c r="H486" s="141" t="s">
        <v>2870</v>
      </c>
      <c r="I486" s="141" t="str">
        <f t="shared" si="42"/>
        <v>999</v>
      </c>
      <c r="J486" s="141" t="s">
        <v>4327</v>
      </c>
      <c r="K486" s="141">
        <v>909</v>
      </c>
      <c r="L486" s="141">
        <v>2</v>
      </c>
      <c r="M486" s="141">
        <v>0</v>
      </c>
      <c r="N486" s="141">
        <v>16000</v>
      </c>
      <c r="O486" s="141" t="s">
        <v>4513</v>
      </c>
      <c r="P486" s="141" t="s">
        <v>4562</v>
      </c>
    </row>
    <row r="487" spans="1:16" ht="25.5">
      <c r="A487" s="141">
        <v>76807</v>
      </c>
      <c r="B487" s="141" t="s">
        <v>4325</v>
      </c>
      <c r="C487" s="142">
        <v>41201</v>
      </c>
      <c r="D487" s="141">
        <v>381</v>
      </c>
      <c r="E487" s="141" t="str">
        <f t="shared" si="41"/>
        <v>001</v>
      </c>
      <c r="F487" s="141" t="s">
        <v>4326</v>
      </c>
      <c r="G487" s="141" t="str">
        <f t="shared" si="43"/>
        <v>0309</v>
      </c>
      <c r="H487" s="141" t="s">
        <v>2870</v>
      </c>
      <c r="I487" s="141" t="str">
        <f t="shared" si="42"/>
        <v>999</v>
      </c>
      <c r="J487" s="141" t="s">
        <v>4327</v>
      </c>
      <c r="K487" s="141">
        <v>910</v>
      </c>
      <c r="L487" s="141">
        <v>1</v>
      </c>
      <c r="M487" s="141">
        <v>0</v>
      </c>
      <c r="N487" s="141">
        <v>2000</v>
      </c>
      <c r="O487" s="141" t="s">
        <v>4409</v>
      </c>
      <c r="P487" s="141" t="s">
        <v>4361</v>
      </c>
    </row>
    <row r="488" spans="1:16" ht="25.5">
      <c r="A488" s="141">
        <v>76807</v>
      </c>
      <c r="B488" s="141" t="s">
        <v>4325</v>
      </c>
      <c r="C488" s="142">
        <v>41201</v>
      </c>
      <c r="D488" s="141">
        <v>381</v>
      </c>
      <c r="E488" s="141" t="str">
        <f t="shared" si="41"/>
        <v>001</v>
      </c>
      <c r="F488" s="141" t="s">
        <v>4326</v>
      </c>
      <c r="G488" s="141" t="str">
        <f t="shared" si="43"/>
        <v>0309</v>
      </c>
      <c r="H488" s="141" t="s">
        <v>2870</v>
      </c>
      <c r="I488" s="141" t="str">
        <f t="shared" si="42"/>
        <v>999</v>
      </c>
      <c r="J488" s="141" t="s">
        <v>4327</v>
      </c>
      <c r="K488" s="141">
        <v>911</v>
      </c>
      <c r="L488" s="141">
        <v>2</v>
      </c>
      <c r="M488" s="141">
        <v>0</v>
      </c>
      <c r="N488" s="141">
        <v>1000</v>
      </c>
      <c r="O488" s="141" t="s">
        <v>4381</v>
      </c>
      <c r="P488" s="141"/>
    </row>
    <row r="489" spans="1:16" ht="25.5">
      <c r="A489" s="141">
        <v>76807</v>
      </c>
      <c r="B489" s="141" t="s">
        <v>4325</v>
      </c>
      <c r="C489" s="142">
        <v>41201</v>
      </c>
      <c r="D489" s="141">
        <v>381</v>
      </c>
      <c r="E489" s="141" t="str">
        <f t="shared" si="41"/>
        <v>001</v>
      </c>
      <c r="F489" s="141" t="s">
        <v>4326</v>
      </c>
      <c r="G489" s="141" t="str">
        <f t="shared" si="43"/>
        <v>0309</v>
      </c>
      <c r="H489" s="141" t="s">
        <v>2870</v>
      </c>
      <c r="I489" s="141" t="str">
        <f t="shared" si="42"/>
        <v>999</v>
      </c>
      <c r="J489" s="141" t="s">
        <v>4327</v>
      </c>
      <c r="K489" s="141">
        <v>912</v>
      </c>
      <c r="L489" s="141">
        <v>1</v>
      </c>
      <c r="M489" s="141">
        <v>0</v>
      </c>
      <c r="N489" s="141">
        <v>3000</v>
      </c>
      <c r="O489" s="141" t="s">
        <v>4368</v>
      </c>
      <c r="P489" s="141"/>
    </row>
    <row r="490" spans="1:16" ht="25.5">
      <c r="A490" s="141">
        <v>76807</v>
      </c>
      <c r="B490" s="141" t="s">
        <v>4325</v>
      </c>
      <c r="C490" s="142">
        <v>41201</v>
      </c>
      <c r="D490" s="141">
        <v>381</v>
      </c>
      <c r="E490" s="141" t="str">
        <f t="shared" si="41"/>
        <v>001</v>
      </c>
      <c r="F490" s="141" t="s">
        <v>4326</v>
      </c>
      <c r="G490" s="141" t="str">
        <f t="shared" si="43"/>
        <v>0309</v>
      </c>
      <c r="H490" s="141" t="s">
        <v>2870</v>
      </c>
      <c r="I490" s="141" t="str">
        <f t="shared" si="42"/>
        <v>999</v>
      </c>
      <c r="J490" s="141" t="s">
        <v>4327</v>
      </c>
      <c r="K490" s="141">
        <v>913</v>
      </c>
      <c r="L490" s="141">
        <v>2</v>
      </c>
      <c r="M490" s="141">
        <v>0</v>
      </c>
      <c r="N490" s="141">
        <v>5000</v>
      </c>
      <c r="O490" s="141" t="s">
        <v>4347</v>
      </c>
      <c r="P490" s="141"/>
    </row>
    <row r="491" spans="1:16" ht="25.5">
      <c r="A491" s="141">
        <v>76807</v>
      </c>
      <c r="B491" s="141" t="s">
        <v>4325</v>
      </c>
      <c r="C491" s="142">
        <v>41201</v>
      </c>
      <c r="D491" s="141">
        <v>381</v>
      </c>
      <c r="E491" s="141" t="str">
        <f t="shared" si="41"/>
        <v>001</v>
      </c>
      <c r="F491" s="141" t="s">
        <v>4326</v>
      </c>
      <c r="G491" s="141" t="str">
        <f t="shared" si="43"/>
        <v>0309</v>
      </c>
      <c r="H491" s="141" t="s">
        <v>2870</v>
      </c>
      <c r="I491" s="141" t="str">
        <f t="shared" si="42"/>
        <v>999</v>
      </c>
      <c r="J491" s="141" t="s">
        <v>4327</v>
      </c>
      <c r="K491" s="141">
        <v>914</v>
      </c>
      <c r="L491" s="141">
        <v>4</v>
      </c>
      <c r="M491" s="141">
        <v>0</v>
      </c>
      <c r="N491" s="141">
        <v>18000</v>
      </c>
      <c r="O491" s="141" t="s">
        <v>4406</v>
      </c>
      <c r="P491" s="141"/>
    </row>
    <row r="492" spans="1:16" ht="25.5">
      <c r="A492" s="141">
        <v>76807</v>
      </c>
      <c r="B492" s="141" t="s">
        <v>4325</v>
      </c>
      <c r="C492" s="142">
        <v>41201</v>
      </c>
      <c r="D492" s="141">
        <v>381</v>
      </c>
      <c r="E492" s="141" t="str">
        <f t="shared" si="41"/>
        <v>001</v>
      </c>
      <c r="F492" s="141" t="s">
        <v>4326</v>
      </c>
      <c r="G492" s="141" t="str">
        <f t="shared" si="43"/>
        <v>0309</v>
      </c>
      <c r="H492" s="141" t="s">
        <v>2870</v>
      </c>
      <c r="I492" s="141" t="str">
        <f t="shared" si="42"/>
        <v>999</v>
      </c>
      <c r="J492" s="141" t="s">
        <v>4327</v>
      </c>
      <c r="K492" s="141">
        <v>915</v>
      </c>
      <c r="L492" s="141">
        <v>2</v>
      </c>
      <c r="M492" s="141">
        <v>0</v>
      </c>
      <c r="N492" s="141">
        <v>3000</v>
      </c>
      <c r="O492" s="141" t="s">
        <v>4515</v>
      </c>
      <c r="P492" s="141"/>
    </row>
    <row r="493" spans="1:16" ht="25.5">
      <c r="A493" s="141">
        <v>76807</v>
      </c>
      <c r="B493" s="141" t="s">
        <v>4325</v>
      </c>
      <c r="C493" s="142">
        <v>41201</v>
      </c>
      <c r="D493" s="141">
        <v>381</v>
      </c>
      <c r="E493" s="141" t="str">
        <f t="shared" si="41"/>
        <v>001</v>
      </c>
      <c r="F493" s="141" t="s">
        <v>4326</v>
      </c>
      <c r="G493" s="141" t="str">
        <f t="shared" si="43"/>
        <v>0309</v>
      </c>
      <c r="H493" s="141" t="s">
        <v>2870</v>
      </c>
      <c r="I493" s="141" t="str">
        <f t="shared" si="42"/>
        <v>999</v>
      </c>
      <c r="J493" s="141" t="s">
        <v>4327</v>
      </c>
      <c r="K493" s="141">
        <v>916</v>
      </c>
      <c r="L493" s="141">
        <v>1</v>
      </c>
      <c r="M493" s="141">
        <v>0</v>
      </c>
      <c r="N493" s="141">
        <v>2000</v>
      </c>
      <c r="O493" s="141" t="s">
        <v>4345</v>
      </c>
      <c r="P493" s="141"/>
    </row>
    <row r="494" spans="1:16" ht="25.5">
      <c r="A494" s="141">
        <v>76807</v>
      </c>
      <c r="B494" s="141" t="s">
        <v>4325</v>
      </c>
      <c r="C494" s="142">
        <v>41201</v>
      </c>
      <c r="D494" s="141">
        <v>381</v>
      </c>
      <c r="E494" s="141" t="str">
        <f t="shared" si="41"/>
        <v>001</v>
      </c>
      <c r="F494" s="141" t="s">
        <v>4326</v>
      </c>
      <c r="G494" s="141" t="str">
        <f t="shared" si="43"/>
        <v>0309</v>
      </c>
      <c r="H494" s="141" t="s">
        <v>2870</v>
      </c>
      <c r="I494" s="141" t="str">
        <f t="shared" si="42"/>
        <v>999</v>
      </c>
      <c r="J494" s="141" t="s">
        <v>4327</v>
      </c>
      <c r="K494" s="141">
        <v>917</v>
      </c>
      <c r="L494" s="141">
        <v>1</v>
      </c>
      <c r="M494" s="141">
        <v>0</v>
      </c>
      <c r="N494" s="141">
        <v>3000</v>
      </c>
      <c r="O494" s="141" t="s">
        <v>4405</v>
      </c>
      <c r="P494" s="141" t="s">
        <v>4539</v>
      </c>
    </row>
    <row r="495" spans="1:16" ht="25.5">
      <c r="A495" s="141">
        <v>76807</v>
      </c>
      <c r="B495" s="141" t="s">
        <v>4325</v>
      </c>
      <c r="C495" s="142">
        <v>41201</v>
      </c>
      <c r="D495" s="141">
        <v>381</v>
      </c>
      <c r="E495" s="141" t="str">
        <f t="shared" si="41"/>
        <v>001</v>
      </c>
      <c r="F495" s="141" t="s">
        <v>4326</v>
      </c>
      <c r="G495" s="141" t="str">
        <f t="shared" si="43"/>
        <v>0309</v>
      </c>
      <c r="H495" s="141" t="s">
        <v>2870</v>
      </c>
      <c r="I495" s="141" t="str">
        <f t="shared" si="42"/>
        <v>999</v>
      </c>
      <c r="J495" s="141" t="s">
        <v>4327</v>
      </c>
      <c r="K495" s="141">
        <v>918</v>
      </c>
      <c r="L495" s="141">
        <v>1</v>
      </c>
      <c r="M495" s="141">
        <v>0</v>
      </c>
      <c r="N495" s="141">
        <v>3000</v>
      </c>
      <c r="O495" s="141" t="s">
        <v>4405</v>
      </c>
      <c r="P495" s="141" t="s">
        <v>4539</v>
      </c>
    </row>
    <row r="496" spans="1:16" ht="25.5">
      <c r="A496" s="141">
        <v>76807</v>
      </c>
      <c r="B496" s="141" t="s">
        <v>4325</v>
      </c>
      <c r="C496" s="142">
        <v>41201</v>
      </c>
      <c r="D496" s="141">
        <v>381</v>
      </c>
      <c r="E496" s="141" t="str">
        <f t="shared" si="41"/>
        <v>001</v>
      </c>
      <c r="F496" s="141" t="s">
        <v>4326</v>
      </c>
      <c r="G496" s="141" t="str">
        <f t="shared" si="43"/>
        <v>0309</v>
      </c>
      <c r="H496" s="141" t="s">
        <v>2870</v>
      </c>
      <c r="I496" s="141" t="str">
        <f t="shared" si="42"/>
        <v>999</v>
      </c>
      <c r="J496" s="141" t="s">
        <v>4327</v>
      </c>
      <c r="K496" s="141">
        <v>919</v>
      </c>
      <c r="L496" s="141">
        <v>1</v>
      </c>
      <c r="M496" s="141">
        <v>0</v>
      </c>
      <c r="N496" s="141">
        <v>3000</v>
      </c>
      <c r="O496" s="141" t="s">
        <v>4405</v>
      </c>
      <c r="P496" s="141" t="s">
        <v>4539</v>
      </c>
    </row>
    <row r="497" spans="1:16" ht="25.5">
      <c r="A497" s="141">
        <v>76807</v>
      </c>
      <c r="B497" s="141" t="s">
        <v>4325</v>
      </c>
      <c r="C497" s="142">
        <v>41201</v>
      </c>
      <c r="D497" s="141">
        <v>381</v>
      </c>
      <c r="E497" s="141" t="str">
        <f t="shared" si="41"/>
        <v>001</v>
      </c>
      <c r="F497" s="141" t="s">
        <v>4326</v>
      </c>
      <c r="G497" s="141" t="str">
        <f t="shared" si="43"/>
        <v>0309</v>
      </c>
      <c r="H497" s="141" t="s">
        <v>2870</v>
      </c>
      <c r="I497" s="141" t="str">
        <f t="shared" si="42"/>
        <v>999</v>
      </c>
      <c r="J497" s="141" t="s">
        <v>4327</v>
      </c>
      <c r="K497" s="141">
        <v>920</v>
      </c>
      <c r="L497" s="141">
        <v>1</v>
      </c>
      <c r="M497" s="141">
        <v>0</v>
      </c>
      <c r="N497" s="141">
        <v>3000</v>
      </c>
      <c r="O497" s="141" t="s">
        <v>4405</v>
      </c>
      <c r="P497" s="141" t="s">
        <v>4539</v>
      </c>
    </row>
    <row r="498" spans="1:16" ht="25.5">
      <c r="A498" s="141">
        <v>76807</v>
      </c>
      <c r="B498" s="141" t="s">
        <v>4325</v>
      </c>
      <c r="C498" s="142">
        <v>41201</v>
      </c>
      <c r="D498" s="141">
        <v>381</v>
      </c>
      <c r="E498" s="141" t="str">
        <f t="shared" si="41"/>
        <v>001</v>
      </c>
      <c r="F498" s="141" t="s">
        <v>4326</v>
      </c>
      <c r="G498" s="141" t="str">
        <f t="shared" si="43"/>
        <v>0309</v>
      </c>
      <c r="H498" s="141" t="s">
        <v>2870</v>
      </c>
      <c r="I498" s="141" t="str">
        <f t="shared" si="42"/>
        <v>999</v>
      </c>
      <c r="J498" s="141" t="s">
        <v>4327</v>
      </c>
      <c r="K498" s="141">
        <v>921</v>
      </c>
      <c r="L498" s="141">
        <v>1</v>
      </c>
      <c r="M498" s="141">
        <v>0</v>
      </c>
      <c r="N498" s="141">
        <v>3000</v>
      </c>
      <c r="O498" s="141" t="s">
        <v>4405</v>
      </c>
      <c r="P498" s="141" t="s">
        <v>4539</v>
      </c>
    </row>
    <row r="499" spans="1:16" ht="25.5">
      <c r="A499" s="141">
        <v>76807</v>
      </c>
      <c r="B499" s="141" t="s">
        <v>4325</v>
      </c>
      <c r="C499" s="142">
        <v>41201</v>
      </c>
      <c r="D499" s="141">
        <v>381</v>
      </c>
      <c r="E499" s="141" t="str">
        <f t="shared" si="41"/>
        <v>001</v>
      </c>
      <c r="F499" s="141" t="s">
        <v>4326</v>
      </c>
      <c r="G499" s="141" t="str">
        <f t="shared" si="43"/>
        <v>0309</v>
      </c>
      <c r="H499" s="141" t="s">
        <v>2870</v>
      </c>
      <c r="I499" s="141" t="str">
        <f t="shared" si="42"/>
        <v>999</v>
      </c>
      <c r="J499" s="141" t="s">
        <v>4327</v>
      </c>
      <c r="K499" s="141">
        <v>922</v>
      </c>
      <c r="L499" s="141">
        <v>1</v>
      </c>
      <c r="M499" s="141">
        <v>0</v>
      </c>
      <c r="N499" s="141">
        <v>3000</v>
      </c>
      <c r="O499" s="141" t="s">
        <v>4405</v>
      </c>
      <c r="P499" s="141" t="s">
        <v>4539</v>
      </c>
    </row>
    <row r="500" spans="1:16" ht="25.5">
      <c r="A500" s="141">
        <v>76807</v>
      </c>
      <c r="B500" s="141" t="s">
        <v>4325</v>
      </c>
      <c r="C500" s="142">
        <v>41201</v>
      </c>
      <c r="D500" s="141">
        <v>381</v>
      </c>
      <c r="E500" s="141" t="str">
        <f t="shared" si="41"/>
        <v>001</v>
      </c>
      <c r="F500" s="141" t="s">
        <v>4326</v>
      </c>
      <c r="G500" s="141" t="str">
        <f t="shared" si="43"/>
        <v>0309</v>
      </c>
      <c r="H500" s="141" t="s">
        <v>2870</v>
      </c>
      <c r="I500" s="141" t="str">
        <f t="shared" si="42"/>
        <v>999</v>
      </c>
      <c r="J500" s="141" t="s">
        <v>4327</v>
      </c>
      <c r="K500" s="141">
        <v>923</v>
      </c>
      <c r="L500" s="141">
        <v>1</v>
      </c>
      <c r="M500" s="141">
        <v>0</v>
      </c>
      <c r="N500" s="141">
        <v>3000</v>
      </c>
      <c r="O500" s="141" t="s">
        <v>4405</v>
      </c>
      <c r="P500" s="141" t="s">
        <v>4539</v>
      </c>
    </row>
    <row r="501" spans="1:16" ht="25.5">
      <c r="A501" s="141">
        <v>76807</v>
      </c>
      <c r="B501" s="141" t="s">
        <v>4325</v>
      </c>
      <c r="C501" s="142">
        <v>41201</v>
      </c>
      <c r="D501" s="141">
        <v>381</v>
      </c>
      <c r="E501" s="141" t="str">
        <f t="shared" si="41"/>
        <v>001</v>
      </c>
      <c r="F501" s="141" t="s">
        <v>4326</v>
      </c>
      <c r="G501" s="141" t="str">
        <f t="shared" si="43"/>
        <v>0309</v>
      </c>
      <c r="H501" s="141" t="s">
        <v>2870</v>
      </c>
      <c r="I501" s="141" t="str">
        <f t="shared" si="42"/>
        <v>999</v>
      </c>
      <c r="J501" s="141" t="s">
        <v>4327</v>
      </c>
      <c r="K501" s="141">
        <v>924</v>
      </c>
      <c r="L501" s="141">
        <v>1</v>
      </c>
      <c r="M501" s="141">
        <v>0</v>
      </c>
      <c r="N501" s="141">
        <v>3000</v>
      </c>
      <c r="O501" s="141" t="s">
        <v>4405</v>
      </c>
      <c r="P501" s="141" t="s">
        <v>4539</v>
      </c>
    </row>
    <row r="502" spans="1:16" ht="25.5">
      <c r="A502" s="141">
        <v>76807</v>
      </c>
      <c r="B502" s="141" t="s">
        <v>4325</v>
      </c>
      <c r="C502" s="142">
        <v>41201</v>
      </c>
      <c r="D502" s="141">
        <v>381</v>
      </c>
      <c r="E502" s="141" t="str">
        <f t="shared" si="41"/>
        <v>001</v>
      </c>
      <c r="F502" s="141" t="s">
        <v>4326</v>
      </c>
      <c r="G502" s="141" t="str">
        <f t="shared" si="43"/>
        <v>0309</v>
      </c>
      <c r="H502" s="141" t="s">
        <v>2870</v>
      </c>
      <c r="I502" s="141" t="str">
        <f t="shared" si="42"/>
        <v>999</v>
      </c>
      <c r="J502" s="141" t="s">
        <v>4327</v>
      </c>
      <c r="K502" s="141">
        <v>925</v>
      </c>
      <c r="L502" s="141">
        <v>1</v>
      </c>
      <c r="M502" s="141">
        <v>0</v>
      </c>
      <c r="N502" s="141">
        <v>3000</v>
      </c>
      <c r="O502" s="141" t="s">
        <v>4405</v>
      </c>
      <c r="P502" s="141" t="s">
        <v>4539</v>
      </c>
    </row>
    <row r="503" spans="1:16" ht="25.5">
      <c r="A503" s="141">
        <v>76807</v>
      </c>
      <c r="B503" s="141" t="s">
        <v>4325</v>
      </c>
      <c r="C503" s="142">
        <v>41201</v>
      </c>
      <c r="D503" s="141">
        <v>381</v>
      </c>
      <c r="E503" s="141" t="str">
        <f t="shared" si="41"/>
        <v>001</v>
      </c>
      <c r="F503" s="141" t="s">
        <v>4326</v>
      </c>
      <c r="G503" s="141" t="str">
        <f t="shared" si="43"/>
        <v>0309</v>
      </c>
      <c r="H503" s="141" t="s">
        <v>2870</v>
      </c>
      <c r="I503" s="141" t="str">
        <f t="shared" si="42"/>
        <v>999</v>
      </c>
      <c r="J503" s="141" t="s">
        <v>4327</v>
      </c>
      <c r="K503" s="141">
        <v>926</v>
      </c>
      <c r="L503" s="141">
        <v>1</v>
      </c>
      <c r="M503" s="141">
        <v>0</v>
      </c>
      <c r="N503" s="141">
        <v>3000</v>
      </c>
      <c r="O503" s="141" t="s">
        <v>4405</v>
      </c>
      <c r="P503" s="141" t="s">
        <v>4539</v>
      </c>
    </row>
    <row r="504" spans="1:16" ht="25.5">
      <c r="A504" s="141">
        <v>76807</v>
      </c>
      <c r="B504" s="141" t="s">
        <v>4325</v>
      </c>
      <c r="C504" s="142">
        <v>41201</v>
      </c>
      <c r="D504" s="141">
        <v>381</v>
      </c>
      <c r="E504" s="141" t="str">
        <f t="shared" si="41"/>
        <v>001</v>
      </c>
      <c r="F504" s="141" t="s">
        <v>4326</v>
      </c>
      <c r="G504" s="141" t="str">
        <f t="shared" si="43"/>
        <v>0309</v>
      </c>
      <c r="H504" s="141" t="s">
        <v>2870</v>
      </c>
      <c r="I504" s="141" t="str">
        <f t="shared" si="42"/>
        <v>999</v>
      </c>
      <c r="J504" s="141" t="s">
        <v>4327</v>
      </c>
      <c r="K504" s="141">
        <v>927</v>
      </c>
      <c r="L504" s="141">
        <v>1</v>
      </c>
      <c r="M504" s="141">
        <v>0</v>
      </c>
      <c r="N504" s="141">
        <v>3000</v>
      </c>
      <c r="O504" s="141" t="s">
        <v>4371</v>
      </c>
      <c r="P504" s="141" t="s">
        <v>4539</v>
      </c>
    </row>
    <row r="505" spans="1:16" ht="25.5">
      <c r="A505" s="141">
        <v>76807</v>
      </c>
      <c r="B505" s="141" t="s">
        <v>4325</v>
      </c>
      <c r="C505" s="142">
        <v>41201</v>
      </c>
      <c r="D505" s="141">
        <v>381</v>
      </c>
      <c r="E505" s="141" t="str">
        <f t="shared" si="41"/>
        <v>001</v>
      </c>
      <c r="F505" s="141" t="s">
        <v>4326</v>
      </c>
      <c r="G505" s="141" t="str">
        <f t="shared" si="43"/>
        <v>0309</v>
      </c>
      <c r="H505" s="141" t="s">
        <v>2870</v>
      </c>
      <c r="I505" s="141" t="str">
        <f t="shared" si="42"/>
        <v>999</v>
      </c>
      <c r="J505" s="141" t="s">
        <v>4327</v>
      </c>
      <c r="K505" s="141">
        <v>928</v>
      </c>
      <c r="L505" s="141">
        <v>1</v>
      </c>
      <c r="M505" s="141">
        <v>0</v>
      </c>
      <c r="N505" s="141">
        <v>3000</v>
      </c>
      <c r="O505" s="141" t="s">
        <v>4371</v>
      </c>
      <c r="P505" s="141" t="s">
        <v>4539</v>
      </c>
    </row>
    <row r="506" spans="1:16" ht="25.5">
      <c r="A506" s="141">
        <v>76807</v>
      </c>
      <c r="B506" s="141" t="s">
        <v>4325</v>
      </c>
      <c r="C506" s="142">
        <v>41201</v>
      </c>
      <c r="D506" s="141">
        <v>381</v>
      </c>
      <c r="E506" s="141" t="str">
        <f t="shared" si="41"/>
        <v>001</v>
      </c>
      <c r="F506" s="141" t="s">
        <v>4326</v>
      </c>
      <c r="G506" s="141" t="str">
        <f t="shared" si="43"/>
        <v>0309</v>
      </c>
      <c r="H506" s="141" t="s">
        <v>2870</v>
      </c>
      <c r="I506" s="141" t="str">
        <f t="shared" si="42"/>
        <v>999</v>
      </c>
      <c r="J506" s="141" t="s">
        <v>4327</v>
      </c>
      <c r="K506" s="141">
        <v>929</v>
      </c>
      <c r="L506" s="141">
        <v>1</v>
      </c>
      <c r="M506" s="141">
        <v>0</v>
      </c>
      <c r="N506" s="141">
        <v>3000</v>
      </c>
      <c r="O506" s="141" t="s">
        <v>4371</v>
      </c>
      <c r="P506" s="141" t="s">
        <v>4539</v>
      </c>
    </row>
    <row r="507" spans="1:16" ht="25.5">
      <c r="A507" s="141">
        <v>76807</v>
      </c>
      <c r="B507" s="141" t="s">
        <v>4325</v>
      </c>
      <c r="C507" s="142">
        <v>41201</v>
      </c>
      <c r="D507" s="141">
        <v>381</v>
      </c>
      <c r="E507" s="141" t="str">
        <f t="shared" si="41"/>
        <v>001</v>
      </c>
      <c r="F507" s="141" t="s">
        <v>4326</v>
      </c>
      <c r="G507" s="141" t="str">
        <f t="shared" si="43"/>
        <v>0309</v>
      </c>
      <c r="H507" s="141" t="s">
        <v>2870</v>
      </c>
      <c r="I507" s="141" t="str">
        <f t="shared" si="42"/>
        <v>999</v>
      </c>
      <c r="J507" s="141" t="s">
        <v>4327</v>
      </c>
      <c r="K507" s="141">
        <v>930</v>
      </c>
      <c r="L507" s="141">
        <v>1</v>
      </c>
      <c r="M507" s="141">
        <v>0</v>
      </c>
      <c r="N507" s="141">
        <v>3000</v>
      </c>
      <c r="O507" s="141" t="s">
        <v>4371</v>
      </c>
      <c r="P507" s="141" t="s">
        <v>4539</v>
      </c>
    </row>
    <row r="508" spans="1:16" ht="25.5">
      <c r="A508" s="141">
        <v>76807</v>
      </c>
      <c r="B508" s="141" t="s">
        <v>4325</v>
      </c>
      <c r="C508" s="142">
        <v>41201</v>
      </c>
      <c r="D508" s="141">
        <v>381</v>
      </c>
      <c r="E508" s="141" t="str">
        <f t="shared" si="41"/>
        <v>001</v>
      </c>
      <c r="F508" s="141" t="s">
        <v>4326</v>
      </c>
      <c r="G508" s="141" t="str">
        <f t="shared" si="43"/>
        <v>0309</v>
      </c>
      <c r="H508" s="141" t="s">
        <v>2870</v>
      </c>
      <c r="I508" s="141" t="str">
        <f t="shared" si="42"/>
        <v>999</v>
      </c>
      <c r="J508" s="141" t="s">
        <v>4327</v>
      </c>
      <c r="K508" s="141">
        <v>931</v>
      </c>
      <c r="L508" s="141">
        <v>1</v>
      </c>
      <c r="M508" s="141">
        <v>0</v>
      </c>
      <c r="N508" s="141">
        <v>16000</v>
      </c>
      <c r="O508" s="141" t="s">
        <v>4563</v>
      </c>
      <c r="P508" s="141"/>
    </row>
    <row r="509" spans="1:16" ht="25.5">
      <c r="A509" s="141">
        <v>76807</v>
      </c>
      <c r="B509" s="141" t="s">
        <v>4325</v>
      </c>
      <c r="C509" s="142">
        <v>41201</v>
      </c>
      <c r="D509" s="141">
        <v>381</v>
      </c>
      <c r="E509" s="141" t="str">
        <f t="shared" si="41"/>
        <v>001</v>
      </c>
      <c r="F509" s="141" t="s">
        <v>4326</v>
      </c>
      <c r="G509" s="141" t="str">
        <f t="shared" si="43"/>
        <v>0309</v>
      </c>
      <c r="H509" s="141" t="s">
        <v>2870</v>
      </c>
      <c r="I509" s="141" t="str">
        <f t="shared" si="42"/>
        <v>999</v>
      </c>
      <c r="J509" s="141" t="s">
        <v>4327</v>
      </c>
      <c r="K509" s="141">
        <v>932</v>
      </c>
      <c r="L509" s="141">
        <v>1</v>
      </c>
      <c r="M509" s="141">
        <v>0</v>
      </c>
      <c r="N509" s="141">
        <v>3000</v>
      </c>
      <c r="O509" s="141" t="s">
        <v>4364</v>
      </c>
      <c r="P509" s="141" t="s">
        <v>4365</v>
      </c>
    </row>
    <row r="510" spans="1:16" ht="25.5">
      <c r="A510" s="141">
        <v>76807</v>
      </c>
      <c r="B510" s="141" t="s">
        <v>4325</v>
      </c>
      <c r="C510" s="142">
        <v>41201</v>
      </c>
      <c r="D510" s="141">
        <v>369</v>
      </c>
      <c r="E510" s="141" t="str">
        <f t="shared" si="41"/>
        <v>001</v>
      </c>
      <c r="F510" s="141" t="s">
        <v>4326</v>
      </c>
      <c r="G510" s="141" t="str">
        <f t="shared" ref="G510:G516" si="44">"0310"</f>
        <v>0310</v>
      </c>
      <c r="H510" s="141" t="s">
        <v>4564</v>
      </c>
      <c r="I510" s="141" t="str">
        <f t="shared" si="42"/>
        <v>999</v>
      </c>
      <c r="J510" s="141" t="s">
        <v>4327</v>
      </c>
      <c r="K510" s="141">
        <v>805</v>
      </c>
      <c r="L510" s="141">
        <v>1</v>
      </c>
      <c r="M510" s="141">
        <v>0</v>
      </c>
      <c r="N510" s="141">
        <v>4000</v>
      </c>
      <c r="O510" s="141" t="s">
        <v>4330</v>
      </c>
      <c r="P510" s="141" t="s">
        <v>4348</v>
      </c>
    </row>
    <row r="511" spans="1:16" ht="25.5">
      <c r="A511" s="141">
        <v>76807</v>
      </c>
      <c r="B511" s="141" t="s">
        <v>4325</v>
      </c>
      <c r="C511" s="142">
        <v>41201</v>
      </c>
      <c r="D511" s="141">
        <v>369</v>
      </c>
      <c r="E511" s="141" t="str">
        <f t="shared" si="41"/>
        <v>001</v>
      </c>
      <c r="F511" s="141" t="s">
        <v>4326</v>
      </c>
      <c r="G511" s="141" t="str">
        <f t="shared" si="44"/>
        <v>0310</v>
      </c>
      <c r="H511" s="141" t="s">
        <v>4564</v>
      </c>
      <c r="I511" s="141" t="str">
        <f t="shared" si="42"/>
        <v>999</v>
      </c>
      <c r="J511" s="141" t="s">
        <v>4327</v>
      </c>
      <c r="K511" s="141">
        <v>806</v>
      </c>
      <c r="L511" s="141">
        <v>1</v>
      </c>
      <c r="M511" s="141">
        <v>0</v>
      </c>
      <c r="N511" s="141">
        <v>26000</v>
      </c>
      <c r="O511" s="141" t="s">
        <v>4328</v>
      </c>
      <c r="P511" s="141" t="s">
        <v>4565</v>
      </c>
    </row>
    <row r="512" spans="1:16" ht="25.5">
      <c r="A512" s="141">
        <v>76807</v>
      </c>
      <c r="B512" s="141" t="s">
        <v>4325</v>
      </c>
      <c r="C512" s="142">
        <v>41201</v>
      </c>
      <c r="D512" s="141">
        <v>369</v>
      </c>
      <c r="E512" s="141" t="str">
        <f t="shared" si="41"/>
        <v>001</v>
      </c>
      <c r="F512" s="141" t="s">
        <v>4326</v>
      </c>
      <c r="G512" s="141" t="str">
        <f t="shared" si="44"/>
        <v>0310</v>
      </c>
      <c r="H512" s="141" t="s">
        <v>4564</v>
      </c>
      <c r="I512" s="141" t="str">
        <f t="shared" si="42"/>
        <v>999</v>
      </c>
      <c r="J512" s="141" t="s">
        <v>4327</v>
      </c>
      <c r="K512" s="141">
        <v>807</v>
      </c>
      <c r="L512" s="141">
        <v>1</v>
      </c>
      <c r="M512" s="141">
        <v>0</v>
      </c>
      <c r="N512" s="141">
        <v>10000</v>
      </c>
      <c r="O512" s="141" t="s">
        <v>4566</v>
      </c>
      <c r="P512" s="141"/>
    </row>
    <row r="513" spans="1:16" ht="25.5">
      <c r="A513" s="141">
        <v>76807</v>
      </c>
      <c r="B513" s="141" t="s">
        <v>4325</v>
      </c>
      <c r="C513" s="142">
        <v>41201</v>
      </c>
      <c r="D513" s="141">
        <v>369</v>
      </c>
      <c r="E513" s="141" t="str">
        <f t="shared" si="41"/>
        <v>001</v>
      </c>
      <c r="F513" s="141" t="s">
        <v>4326</v>
      </c>
      <c r="G513" s="141" t="str">
        <f t="shared" si="44"/>
        <v>0310</v>
      </c>
      <c r="H513" s="141" t="s">
        <v>4564</v>
      </c>
      <c r="I513" s="141" t="str">
        <f t="shared" si="42"/>
        <v>999</v>
      </c>
      <c r="J513" s="141" t="s">
        <v>4327</v>
      </c>
      <c r="K513" s="141">
        <v>808</v>
      </c>
      <c r="L513" s="141">
        <v>1</v>
      </c>
      <c r="M513" s="141">
        <v>0</v>
      </c>
      <c r="N513" s="141">
        <v>53000</v>
      </c>
      <c r="O513" s="141" t="s">
        <v>4567</v>
      </c>
      <c r="P513" s="141"/>
    </row>
    <row r="514" spans="1:16" ht="25.5">
      <c r="A514" s="141">
        <v>76807</v>
      </c>
      <c r="B514" s="141" t="s">
        <v>4325</v>
      </c>
      <c r="C514" s="142">
        <v>41201</v>
      </c>
      <c r="D514" s="141">
        <v>369</v>
      </c>
      <c r="E514" s="141" t="str">
        <f t="shared" ref="E514:E577" si="45">"001"</f>
        <v>001</v>
      </c>
      <c r="F514" s="141" t="s">
        <v>4326</v>
      </c>
      <c r="G514" s="141" t="str">
        <f t="shared" si="44"/>
        <v>0310</v>
      </c>
      <c r="H514" s="141" t="s">
        <v>4564</v>
      </c>
      <c r="I514" s="141" t="str">
        <f t="shared" ref="I514:I577" si="46">"999"</f>
        <v>999</v>
      </c>
      <c r="J514" s="141" t="s">
        <v>4327</v>
      </c>
      <c r="K514" s="141">
        <v>809</v>
      </c>
      <c r="L514" s="141">
        <v>1</v>
      </c>
      <c r="M514" s="141">
        <v>0</v>
      </c>
      <c r="N514" s="141">
        <v>1000</v>
      </c>
      <c r="O514" s="141" t="s">
        <v>4568</v>
      </c>
      <c r="P514" s="141"/>
    </row>
    <row r="515" spans="1:16" ht="25.5">
      <c r="A515" s="141">
        <v>76807</v>
      </c>
      <c r="B515" s="141" t="s">
        <v>4325</v>
      </c>
      <c r="C515" s="142">
        <v>41201</v>
      </c>
      <c r="D515" s="141">
        <v>369</v>
      </c>
      <c r="E515" s="141" t="str">
        <f t="shared" si="45"/>
        <v>001</v>
      </c>
      <c r="F515" s="141" t="s">
        <v>4326</v>
      </c>
      <c r="G515" s="141" t="str">
        <f t="shared" si="44"/>
        <v>0310</v>
      </c>
      <c r="H515" s="141" t="s">
        <v>4564</v>
      </c>
      <c r="I515" s="141" t="str">
        <f t="shared" si="46"/>
        <v>999</v>
      </c>
      <c r="J515" s="141" t="s">
        <v>4327</v>
      </c>
      <c r="K515" s="141">
        <v>810</v>
      </c>
      <c r="L515" s="141">
        <v>1</v>
      </c>
      <c r="M515" s="141">
        <v>0</v>
      </c>
      <c r="N515" s="141">
        <v>2000</v>
      </c>
      <c r="O515" s="141" t="s">
        <v>4569</v>
      </c>
      <c r="P515" s="141"/>
    </row>
    <row r="516" spans="1:16" ht="25.5">
      <c r="A516" s="141">
        <v>76807</v>
      </c>
      <c r="B516" s="141" t="s">
        <v>4325</v>
      </c>
      <c r="C516" s="142">
        <v>41201</v>
      </c>
      <c r="D516" s="141">
        <v>369</v>
      </c>
      <c r="E516" s="141" t="str">
        <f t="shared" si="45"/>
        <v>001</v>
      </c>
      <c r="F516" s="141" t="s">
        <v>4326</v>
      </c>
      <c r="G516" s="141" t="str">
        <f t="shared" si="44"/>
        <v>0310</v>
      </c>
      <c r="H516" s="141" t="s">
        <v>4564</v>
      </c>
      <c r="I516" s="141" t="str">
        <f t="shared" si="46"/>
        <v>999</v>
      </c>
      <c r="J516" s="141" t="s">
        <v>4327</v>
      </c>
      <c r="K516" s="141">
        <v>811</v>
      </c>
      <c r="L516" s="141">
        <v>1</v>
      </c>
      <c r="M516" s="141">
        <v>0</v>
      </c>
      <c r="N516" s="141">
        <v>43000</v>
      </c>
      <c r="O516" s="141" t="s">
        <v>894</v>
      </c>
      <c r="P516" s="141"/>
    </row>
    <row r="517" spans="1:16" ht="25.5">
      <c r="A517" s="141">
        <v>76807</v>
      </c>
      <c r="B517" s="141" t="s">
        <v>4325</v>
      </c>
      <c r="C517" s="142">
        <v>41201</v>
      </c>
      <c r="D517" s="141">
        <v>718</v>
      </c>
      <c r="E517" s="141" t="str">
        <f t="shared" si="45"/>
        <v>001</v>
      </c>
      <c r="F517" s="141" t="s">
        <v>4326</v>
      </c>
      <c r="G517" s="141" t="str">
        <f t="shared" ref="G517:G544" si="47">"0311"</f>
        <v>0311</v>
      </c>
      <c r="H517" s="141" t="s">
        <v>3068</v>
      </c>
      <c r="I517" s="141" t="str">
        <f t="shared" si="46"/>
        <v>999</v>
      </c>
      <c r="J517" s="141" t="s">
        <v>4327</v>
      </c>
      <c r="K517" s="141">
        <v>2124</v>
      </c>
      <c r="L517" s="141">
        <v>1</v>
      </c>
      <c r="M517" s="141">
        <v>0</v>
      </c>
      <c r="N517" s="141">
        <v>6000</v>
      </c>
      <c r="O517" s="141" t="s">
        <v>4420</v>
      </c>
      <c r="P517" s="141" t="s">
        <v>4355</v>
      </c>
    </row>
    <row r="518" spans="1:16" ht="25.5">
      <c r="A518" s="141">
        <v>76807</v>
      </c>
      <c r="B518" s="141" t="s">
        <v>4325</v>
      </c>
      <c r="C518" s="142">
        <v>41201</v>
      </c>
      <c r="D518" s="141">
        <v>718</v>
      </c>
      <c r="E518" s="141" t="str">
        <f t="shared" si="45"/>
        <v>001</v>
      </c>
      <c r="F518" s="141" t="s">
        <v>4326</v>
      </c>
      <c r="G518" s="141" t="str">
        <f t="shared" si="47"/>
        <v>0311</v>
      </c>
      <c r="H518" s="141" t="s">
        <v>3068</v>
      </c>
      <c r="I518" s="141" t="str">
        <f t="shared" si="46"/>
        <v>999</v>
      </c>
      <c r="J518" s="141" t="s">
        <v>4327</v>
      </c>
      <c r="K518" s="141">
        <v>2125</v>
      </c>
      <c r="L518" s="141">
        <v>1</v>
      </c>
      <c r="M518" s="141">
        <v>0</v>
      </c>
      <c r="N518" s="141">
        <v>6000</v>
      </c>
      <c r="O518" s="141" t="s">
        <v>4351</v>
      </c>
      <c r="P518" s="141" t="s">
        <v>4570</v>
      </c>
    </row>
    <row r="519" spans="1:16" ht="25.5">
      <c r="A519" s="141">
        <v>76807</v>
      </c>
      <c r="B519" s="141" t="s">
        <v>4325</v>
      </c>
      <c r="C519" s="142">
        <v>41201</v>
      </c>
      <c r="D519" s="141">
        <v>718</v>
      </c>
      <c r="E519" s="141" t="str">
        <f t="shared" si="45"/>
        <v>001</v>
      </c>
      <c r="F519" s="141" t="s">
        <v>4326</v>
      </c>
      <c r="G519" s="141" t="str">
        <f t="shared" si="47"/>
        <v>0311</v>
      </c>
      <c r="H519" s="141" t="s">
        <v>3068</v>
      </c>
      <c r="I519" s="141" t="str">
        <f t="shared" si="46"/>
        <v>999</v>
      </c>
      <c r="J519" s="141" t="s">
        <v>4327</v>
      </c>
      <c r="K519" s="141">
        <v>2126</v>
      </c>
      <c r="L519" s="141">
        <v>1</v>
      </c>
      <c r="M519" s="141">
        <v>0</v>
      </c>
      <c r="N519" s="141">
        <v>94000</v>
      </c>
      <c r="O519" s="141" t="s">
        <v>4337</v>
      </c>
      <c r="P519" s="141" t="s">
        <v>4571</v>
      </c>
    </row>
    <row r="520" spans="1:16" ht="25.5">
      <c r="A520" s="141">
        <v>76807</v>
      </c>
      <c r="B520" s="141" t="s">
        <v>4325</v>
      </c>
      <c r="C520" s="142">
        <v>41201</v>
      </c>
      <c r="D520" s="141">
        <v>718</v>
      </c>
      <c r="E520" s="141" t="str">
        <f t="shared" si="45"/>
        <v>001</v>
      </c>
      <c r="F520" s="141" t="s">
        <v>4326</v>
      </c>
      <c r="G520" s="141" t="str">
        <f t="shared" si="47"/>
        <v>0311</v>
      </c>
      <c r="H520" s="141" t="s">
        <v>3068</v>
      </c>
      <c r="I520" s="141" t="str">
        <f t="shared" si="46"/>
        <v>999</v>
      </c>
      <c r="J520" s="141" t="s">
        <v>4327</v>
      </c>
      <c r="K520" s="141">
        <v>2127</v>
      </c>
      <c r="L520" s="141">
        <v>1</v>
      </c>
      <c r="M520" s="141">
        <v>0</v>
      </c>
      <c r="N520" s="141">
        <v>9000</v>
      </c>
      <c r="O520" s="141" t="s">
        <v>4388</v>
      </c>
      <c r="P520" s="141" t="s">
        <v>4572</v>
      </c>
    </row>
    <row r="521" spans="1:16" ht="25.5">
      <c r="A521" s="141">
        <v>76807</v>
      </c>
      <c r="B521" s="141" t="s">
        <v>4325</v>
      </c>
      <c r="C521" s="142">
        <v>41201</v>
      </c>
      <c r="D521" s="141">
        <v>718</v>
      </c>
      <c r="E521" s="141" t="str">
        <f t="shared" si="45"/>
        <v>001</v>
      </c>
      <c r="F521" s="141" t="s">
        <v>4326</v>
      </c>
      <c r="G521" s="141" t="str">
        <f t="shared" si="47"/>
        <v>0311</v>
      </c>
      <c r="H521" s="141" t="s">
        <v>3068</v>
      </c>
      <c r="I521" s="141" t="str">
        <f t="shared" si="46"/>
        <v>999</v>
      </c>
      <c r="J521" s="141" t="s">
        <v>4327</v>
      </c>
      <c r="K521" s="141">
        <v>2128</v>
      </c>
      <c r="L521" s="141">
        <v>6</v>
      </c>
      <c r="M521" s="141">
        <v>0</v>
      </c>
      <c r="N521" s="141">
        <v>15000</v>
      </c>
      <c r="O521" s="141" t="s">
        <v>4339</v>
      </c>
      <c r="P521" s="141" t="s">
        <v>4340</v>
      </c>
    </row>
    <row r="522" spans="1:16" ht="25.5">
      <c r="A522" s="141">
        <v>76807</v>
      </c>
      <c r="B522" s="141" t="s">
        <v>4325</v>
      </c>
      <c r="C522" s="142">
        <v>41201</v>
      </c>
      <c r="D522" s="141">
        <v>718</v>
      </c>
      <c r="E522" s="141" t="str">
        <f t="shared" si="45"/>
        <v>001</v>
      </c>
      <c r="F522" s="141" t="s">
        <v>4326</v>
      </c>
      <c r="G522" s="141" t="str">
        <f t="shared" si="47"/>
        <v>0311</v>
      </c>
      <c r="H522" s="141" t="s">
        <v>3068</v>
      </c>
      <c r="I522" s="141" t="str">
        <f t="shared" si="46"/>
        <v>999</v>
      </c>
      <c r="J522" s="141" t="s">
        <v>4327</v>
      </c>
      <c r="K522" s="141">
        <v>2129</v>
      </c>
      <c r="L522" s="141">
        <v>3</v>
      </c>
      <c r="M522" s="141">
        <v>0</v>
      </c>
      <c r="N522" s="141">
        <v>51000</v>
      </c>
      <c r="O522" s="141" t="s">
        <v>4357</v>
      </c>
      <c r="P522" s="141" t="s">
        <v>4573</v>
      </c>
    </row>
    <row r="523" spans="1:16" ht="25.5">
      <c r="A523" s="141">
        <v>76807</v>
      </c>
      <c r="B523" s="141" t="s">
        <v>4325</v>
      </c>
      <c r="C523" s="142">
        <v>41201</v>
      </c>
      <c r="D523" s="141">
        <v>718</v>
      </c>
      <c r="E523" s="141" t="str">
        <f t="shared" si="45"/>
        <v>001</v>
      </c>
      <c r="F523" s="141" t="s">
        <v>4326</v>
      </c>
      <c r="G523" s="141" t="str">
        <f t="shared" si="47"/>
        <v>0311</v>
      </c>
      <c r="H523" s="141" t="s">
        <v>3068</v>
      </c>
      <c r="I523" s="141" t="str">
        <f t="shared" si="46"/>
        <v>999</v>
      </c>
      <c r="J523" s="141" t="s">
        <v>4327</v>
      </c>
      <c r="K523" s="141">
        <v>2130</v>
      </c>
      <c r="L523" s="141">
        <v>4</v>
      </c>
      <c r="M523" s="141">
        <v>0</v>
      </c>
      <c r="N523" s="141">
        <v>49000</v>
      </c>
      <c r="O523" s="141" t="s">
        <v>4357</v>
      </c>
      <c r="P523" s="141" t="s">
        <v>4574</v>
      </c>
    </row>
    <row r="524" spans="1:16" ht="25.5">
      <c r="A524" s="141">
        <v>76807</v>
      </c>
      <c r="B524" s="141" t="s">
        <v>4325</v>
      </c>
      <c r="C524" s="142">
        <v>41201</v>
      </c>
      <c r="D524" s="141">
        <v>718</v>
      </c>
      <c r="E524" s="141" t="str">
        <f t="shared" si="45"/>
        <v>001</v>
      </c>
      <c r="F524" s="141" t="s">
        <v>4326</v>
      </c>
      <c r="G524" s="141" t="str">
        <f t="shared" si="47"/>
        <v>0311</v>
      </c>
      <c r="H524" s="141" t="s">
        <v>3068</v>
      </c>
      <c r="I524" s="141" t="str">
        <f t="shared" si="46"/>
        <v>999</v>
      </c>
      <c r="J524" s="141" t="s">
        <v>4327</v>
      </c>
      <c r="K524" s="141">
        <v>2131</v>
      </c>
      <c r="L524" s="141">
        <v>1</v>
      </c>
      <c r="M524" s="141">
        <v>0</v>
      </c>
      <c r="N524" s="141">
        <v>21000</v>
      </c>
      <c r="O524" s="141" t="s">
        <v>4357</v>
      </c>
      <c r="P524" s="141" t="s">
        <v>4575</v>
      </c>
    </row>
    <row r="525" spans="1:16" ht="25.5">
      <c r="A525" s="141">
        <v>76807</v>
      </c>
      <c r="B525" s="141" t="s">
        <v>4325</v>
      </c>
      <c r="C525" s="142">
        <v>41201</v>
      </c>
      <c r="D525" s="141">
        <v>718</v>
      </c>
      <c r="E525" s="141" t="str">
        <f t="shared" si="45"/>
        <v>001</v>
      </c>
      <c r="F525" s="141" t="s">
        <v>4326</v>
      </c>
      <c r="G525" s="141" t="str">
        <f t="shared" si="47"/>
        <v>0311</v>
      </c>
      <c r="H525" s="141" t="s">
        <v>3068</v>
      </c>
      <c r="I525" s="141" t="str">
        <f t="shared" si="46"/>
        <v>999</v>
      </c>
      <c r="J525" s="141" t="s">
        <v>4327</v>
      </c>
      <c r="K525" s="141">
        <v>2132</v>
      </c>
      <c r="L525" s="141">
        <v>1</v>
      </c>
      <c r="M525" s="141">
        <v>0</v>
      </c>
      <c r="N525" s="141">
        <v>14000</v>
      </c>
      <c r="O525" s="141" t="s">
        <v>4357</v>
      </c>
      <c r="P525" s="141" t="s">
        <v>4576</v>
      </c>
    </row>
    <row r="526" spans="1:16" ht="25.5">
      <c r="A526" s="141">
        <v>76807</v>
      </c>
      <c r="B526" s="141" t="s">
        <v>4325</v>
      </c>
      <c r="C526" s="142">
        <v>41201</v>
      </c>
      <c r="D526" s="141">
        <v>718</v>
      </c>
      <c r="E526" s="141" t="str">
        <f t="shared" si="45"/>
        <v>001</v>
      </c>
      <c r="F526" s="141" t="s">
        <v>4326</v>
      </c>
      <c r="G526" s="141" t="str">
        <f t="shared" si="47"/>
        <v>0311</v>
      </c>
      <c r="H526" s="141" t="s">
        <v>3068</v>
      </c>
      <c r="I526" s="141" t="str">
        <f t="shared" si="46"/>
        <v>999</v>
      </c>
      <c r="J526" s="141" t="s">
        <v>4327</v>
      </c>
      <c r="K526" s="141">
        <v>2133</v>
      </c>
      <c r="L526" s="141">
        <v>1</v>
      </c>
      <c r="M526" s="141">
        <v>0</v>
      </c>
      <c r="N526" s="141">
        <v>14000</v>
      </c>
      <c r="O526" s="141" t="s">
        <v>4357</v>
      </c>
      <c r="P526" s="141" t="s">
        <v>4577</v>
      </c>
    </row>
    <row r="527" spans="1:16" ht="25.5">
      <c r="A527" s="141">
        <v>76807</v>
      </c>
      <c r="B527" s="141" t="s">
        <v>4325</v>
      </c>
      <c r="C527" s="142">
        <v>41201</v>
      </c>
      <c r="D527" s="141">
        <v>718</v>
      </c>
      <c r="E527" s="141" t="str">
        <f t="shared" si="45"/>
        <v>001</v>
      </c>
      <c r="F527" s="141" t="s">
        <v>4326</v>
      </c>
      <c r="G527" s="141" t="str">
        <f t="shared" si="47"/>
        <v>0311</v>
      </c>
      <c r="H527" s="141" t="s">
        <v>3068</v>
      </c>
      <c r="I527" s="141" t="str">
        <f t="shared" si="46"/>
        <v>999</v>
      </c>
      <c r="J527" s="141" t="s">
        <v>4327</v>
      </c>
      <c r="K527" s="141">
        <v>2134</v>
      </c>
      <c r="L527" s="141">
        <v>1</v>
      </c>
      <c r="M527" s="141">
        <v>0</v>
      </c>
      <c r="N527" s="141">
        <v>0</v>
      </c>
      <c r="O527" s="141" t="s">
        <v>4330</v>
      </c>
      <c r="P527" s="141" t="s">
        <v>4441</v>
      </c>
    </row>
    <row r="528" spans="1:16" ht="25.5">
      <c r="A528" s="141">
        <v>76807</v>
      </c>
      <c r="B528" s="141" t="s">
        <v>4325</v>
      </c>
      <c r="C528" s="142">
        <v>41201</v>
      </c>
      <c r="D528" s="141">
        <v>718</v>
      </c>
      <c r="E528" s="141" t="str">
        <f t="shared" si="45"/>
        <v>001</v>
      </c>
      <c r="F528" s="141" t="s">
        <v>4326</v>
      </c>
      <c r="G528" s="141" t="str">
        <f t="shared" si="47"/>
        <v>0311</v>
      </c>
      <c r="H528" s="141" t="s">
        <v>3068</v>
      </c>
      <c r="I528" s="141" t="str">
        <f t="shared" si="46"/>
        <v>999</v>
      </c>
      <c r="J528" s="141" t="s">
        <v>4327</v>
      </c>
      <c r="K528" s="141">
        <v>2135</v>
      </c>
      <c r="L528" s="141">
        <v>2</v>
      </c>
      <c r="M528" s="141">
        <v>0</v>
      </c>
      <c r="N528" s="141">
        <v>30000</v>
      </c>
      <c r="O528" s="141" t="s">
        <v>4396</v>
      </c>
      <c r="P528" s="141"/>
    </row>
    <row r="529" spans="1:16" ht="25.5">
      <c r="A529" s="141">
        <v>76807</v>
      </c>
      <c r="B529" s="141" t="s">
        <v>4325</v>
      </c>
      <c r="C529" s="142">
        <v>41201</v>
      </c>
      <c r="D529" s="141">
        <v>718</v>
      </c>
      <c r="E529" s="141" t="str">
        <f t="shared" si="45"/>
        <v>001</v>
      </c>
      <c r="F529" s="141" t="s">
        <v>4326</v>
      </c>
      <c r="G529" s="141" t="str">
        <f t="shared" si="47"/>
        <v>0311</v>
      </c>
      <c r="H529" s="141" t="s">
        <v>3068</v>
      </c>
      <c r="I529" s="141" t="str">
        <f t="shared" si="46"/>
        <v>999</v>
      </c>
      <c r="J529" s="141" t="s">
        <v>4327</v>
      </c>
      <c r="K529" s="141">
        <v>2136</v>
      </c>
      <c r="L529" s="141">
        <v>2</v>
      </c>
      <c r="M529" s="141">
        <v>0</v>
      </c>
      <c r="N529" s="141">
        <v>4000</v>
      </c>
      <c r="O529" s="141" t="s">
        <v>4455</v>
      </c>
      <c r="P529" s="141"/>
    </row>
    <row r="530" spans="1:16" ht="25.5">
      <c r="A530" s="141">
        <v>76807</v>
      </c>
      <c r="B530" s="141" t="s">
        <v>4325</v>
      </c>
      <c r="C530" s="142">
        <v>41201</v>
      </c>
      <c r="D530" s="141">
        <v>718</v>
      </c>
      <c r="E530" s="141" t="str">
        <f t="shared" si="45"/>
        <v>001</v>
      </c>
      <c r="F530" s="141" t="s">
        <v>4326</v>
      </c>
      <c r="G530" s="141" t="str">
        <f t="shared" si="47"/>
        <v>0311</v>
      </c>
      <c r="H530" s="141" t="s">
        <v>3068</v>
      </c>
      <c r="I530" s="141" t="str">
        <f t="shared" si="46"/>
        <v>999</v>
      </c>
      <c r="J530" s="141" t="s">
        <v>4327</v>
      </c>
      <c r="K530" s="141">
        <v>2137</v>
      </c>
      <c r="L530" s="141">
        <v>1</v>
      </c>
      <c r="M530" s="141">
        <v>0</v>
      </c>
      <c r="N530" s="141">
        <v>6000</v>
      </c>
      <c r="O530" s="141" t="s">
        <v>4380</v>
      </c>
      <c r="P530" s="141" t="s">
        <v>4578</v>
      </c>
    </row>
    <row r="531" spans="1:16" ht="25.5">
      <c r="A531" s="141">
        <v>76807</v>
      </c>
      <c r="B531" s="141" t="s">
        <v>4325</v>
      </c>
      <c r="C531" s="142">
        <v>41201</v>
      </c>
      <c r="D531" s="141">
        <v>718</v>
      </c>
      <c r="E531" s="141" t="str">
        <f t="shared" si="45"/>
        <v>001</v>
      </c>
      <c r="F531" s="141" t="s">
        <v>4326</v>
      </c>
      <c r="G531" s="141" t="str">
        <f t="shared" si="47"/>
        <v>0311</v>
      </c>
      <c r="H531" s="141" t="s">
        <v>3068</v>
      </c>
      <c r="I531" s="141" t="str">
        <f t="shared" si="46"/>
        <v>999</v>
      </c>
      <c r="J531" s="141" t="s">
        <v>4327</v>
      </c>
      <c r="K531" s="141">
        <v>2138</v>
      </c>
      <c r="L531" s="141">
        <v>1</v>
      </c>
      <c r="M531" s="141">
        <v>0</v>
      </c>
      <c r="N531" s="141">
        <v>140000</v>
      </c>
      <c r="O531" s="141" t="s">
        <v>4368</v>
      </c>
      <c r="P531" s="141"/>
    </row>
    <row r="532" spans="1:16" ht="25.5">
      <c r="A532" s="141">
        <v>76807</v>
      </c>
      <c r="B532" s="141" t="s">
        <v>4325</v>
      </c>
      <c r="C532" s="142">
        <v>41201</v>
      </c>
      <c r="D532" s="141">
        <v>718</v>
      </c>
      <c r="E532" s="141" t="str">
        <f t="shared" si="45"/>
        <v>001</v>
      </c>
      <c r="F532" s="141" t="s">
        <v>4326</v>
      </c>
      <c r="G532" s="141" t="str">
        <f t="shared" si="47"/>
        <v>0311</v>
      </c>
      <c r="H532" s="141" t="s">
        <v>3068</v>
      </c>
      <c r="I532" s="141" t="str">
        <f t="shared" si="46"/>
        <v>999</v>
      </c>
      <c r="J532" s="141" t="s">
        <v>4327</v>
      </c>
      <c r="K532" s="141">
        <v>2139</v>
      </c>
      <c r="L532" s="141">
        <v>1</v>
      </c>
      <c r="M532" s="141">
        <v>0</v>
      </c>
      <c r="N532" s="141">
        <v>11000</v>
      </c>
      <c r="O532" s="141" t="s">
        <v>4369</v>
      </c>
      <c r="P532" s="141" t="s">
        <v>4579</v>
      </c>
    </row>
    <row r="533" spans="1:16" ht="25.5">
      <c r="A533" s="141">
        <v>76807</v>
      </c>
      <c r="B533" s="141" t="s">
        <v>4325</v>
      </c>
      <c r="C533" s="142">
        <v>41201</v>
      </c>
      <c r="D533" s="141">
        <v>718</v>
      </c>
      <c r="E533" s="141" t="str">
        <f t="shared" si="45"/>
        <v>001</v>
      </c>
      <c r="F533" s="141" t="s">
        <v>4326</v>
      </c>
      <c r="G533" s="141" t="str">
        <f t="shared" si="47"/>
        <v>0311</v>
      </c>
      <c r="H533" s="141" t="s">
        <v>3068</v>
      </c>
      <c r="I533" s="141" t="str">
        <f t="shared" si="46"/>
        <v>999</v>
      </c>
      <c r="J533" s="141" t="s">
        <v>4327</v>
      </c>
      <c r="K533" s="141">
        <v>2140</v>
      </c>
      <c r="L533" s="141">
        <v>3</v>
      </c>
      <c r="M533" s="141">
        <v>0</v>
      </c>
      <c r="N533" s="141">
        <v>7000</v>
      </c>
      <c r="O533" s="141" t="s">
        <v>4347</v>
      </c>
      <c r="P533" s="141"/>
    </row>
    <row r="534" spans="1:16" ht="25.5">
      <c r="A534" s="141">
        <v>76807</v>
      </c>
      <c r="B534" s="141" t="s">
        <v>4325</v>
      </c>
      <c r="C534" s="142">
        <v>41201</v>
      </c>
      <c r="D534" s="141">
        <v>718</v>
      </c>
      <c r="E534" s="141" t="str">
        <f t="shared" si="45"/>
        <v>001</v>
      </c>
      <c r="F534" s="141" t="s">
        <v>4326</v>
      </c>
      <c r="G534" s="141" t="str">
        <f t="shared" si="47"/>
        <v>0311</v>
      </c>
      <c r="H534" s="141" t="s">
        <v>3068</v>
      </c>
      <c r="I534" s="141" t="str">
        <f t="shared" si="46"/>
        <v>999</v>
      </c>
      <c r="J534" s="141" t="s">
        <v>4327</v>
      </c>
      <c r="K534" s="141">
        <v>2141</v>
      </c>
      <c r="L534" s="141">
        <v>4</v>
      </c>
      <c r="M534" s="141">
        <v>0</v>
      </c>
      <c r="N534" s="141">
        <v>35000</v>
      </c>
      <c r="O534" s="141" t="s">
        <v>4580</v>
      </c>
      <c r="P534" s="141"/>
    </row>
    <row r="535" spans="1:16" ht="25.5">
      <c r="A535" s="141">
        <v>76807</v>
      </c>
      <c r="B535" s="141" t="s">
        <v>4325</v>
      </c>
      <c r="C535" s="142">
        <v>41201</v>
      </c>
      <c r="D535" s="141">
        <v>718</v>
      </c>
      <c r="E535" s="141" t="str">
        <f t="shared" si="45"/>
        <v>001</v>
      </c>
      <c r="F535" s="141" t="s">
        <v>4326</v>
      </c>
      <c r="G535" s="141" t="str">
        <f t="shared" si="47"/>
        <v>0311</v>
      </c>
      <c r="H535" s="141" t="s">
        <v>3068</v>
      </c>
      <c r="I535" s="141" t="str">
        <f t="shared" si="46"/>
        <v>999</v>
      </c>
      <c r="J535" s="141" t="s">
        <v>4327</v>
      </c>
      <c r="K535" s="141">
        <v>2142</v>
      </c>
      <c r="L535" s="141">
        <v>1</v>
      </c>
      <c r="M535" s="141">
        <v>0</v>
      </c>
      <c r="N535" s="141">
        <v>3000</v>
      </c>
      <c r="O535" s="141" t="s">
        <v>4405</v>
      </c>
      <c r="P535" s="141" t="s">
        <v>4372</v>
      </c>
    </row>
    <row r="536" spans="1:16" ht="25.5">
      <c r="A536" s="141">
        <v>76807</v>
      </c>
      <c r="B536" s="141" t="s">
        <v>4325</v>
      </c>
      <c r="C536" s="142">
        <v>41201</v>
      </c>
      <c r="D536" s="141">
        <v>718</v>
      </c>
      <c r="E536" s="141" t="str">
        <f t="shared" si="45"/>
        <v>001</v>
      </c>
      <c r="F536" s="141" t="s">
        <v>4326</v>
      </c>
      <c r="G536" s="141" t="str">
        <f t="shared" si="47"/>
        <v>0311</v>
      </c>
      <c r="H536" s="141" t="s">
        <v>3068</v>
      </c>
      <c r="I536" s="141" t="str">
        <f t="shared" si="46"/>
        <v>999</v>
      </c>
      <c r="J536" s="141" t="s">
        <v>4327</v>
      </c>
      <c r="K536" s="141">
        <v>2143</v>
      </c>
      <c r="L536" s="141">
        <v>1</v>
      </c>
      <c r="M536" s="141">
        <v>0</v>
      </c>
      <c r="N536" s="141">
        <v>3000</v>
      </c>
      <c r="O536" s="141" t="s">
        <v>4405</v>
      </c>
      <c r="P536" s="141" t="s">
        <v>4372</v>
      </c>
    </row>
    <row r="537" spans="1:16" ht="25.5">
      <c r="A537" s="141">
        <v>76807</v>
      </c>
      <c r="B537" s="141" t="s">
        <v>4325</v>
      </c>
      <c r="C537" s="142">
        <v>41201</v>
      </c>
      <c r="D537" s="141">
        <v>718</v>
      </c>
      <c r="E537" s="141" t="str">
        <f t="shared" si="45"/>
        <v>001</v>
      </c>
      <c r="F537" s="141" t="s">
        <v>4326</v>
      </c>
      <c r="G537" s="141" t="str">
        <f t="shared" si="47"/>
        <v>0311</v>
      </c>
      <c r="H537" s="141" t="s">
        <v>3068</v>
      </c>
      <c r="I537" s="141" t="str">
        <f t="shared" si="46"/>
        <v>999</v>
      </c>
      <c r="J537" s="141" t="s">
        <v>4327</v>
      </c>
      <c r="K537" s="141">
        <v>2144</v>
      </c>
      <c r="L537" s="141">
        <v>1</v>
      </c>
      <c r="M537" s="141">
        <v>0</v>
      </c>
      <c r="N537" s="141">
        <v>3000</v>
      </c>
      <c r="O537" s="141" t="s">
        <v>4405</v>
      </c>
      <c r="P537" s="141" t="s">
        <v>4372</v>
      </c>
    </row>
    <row r="538" spans="1:16" ht="25.5">
      <c r="A538" s="141">
        <v>76807</v>
      </c>
      <c r="B538" s="141" t="s">
        <v>4325</v>
      </c>
      <c r="C538" s="142">
        <v>41201</v>
      </c>
      <c r="D538" s="141">
        <v>718</v>
      </c>
      <c r="E538" s="141" t="str">
        <f t="shared" si="45"/>
        <v>001</v>
      </c>
      <c r="F538" s="141" t="s">
        <v>4326</v>
      </c>
      <c r="G538" s="141" t="str">
        <f t="shared" si="47"/>
        <v>0311</v>
      </c>
      <c r="H538" s="141" t="s">
        <v>3068</v>
      </c>
      <c r="I538" s="141" t="str">
        <f t="shared" si="46"/>
        <v>999</v>
      </c>
      <c r="J538" s="141" t="s">
        <v>4327</v>
      </c>
      <c r="K538" s="141">
        <v>2145</v>
      </c>
      <c r="L538" s="141">
        <v>1</v>
      </c>
      <c r="M538" s="141">
        <v>0</v>
      </c>
      <c r="N538" s="141">
        <v>3000</v>
      </c>
      <c r="O538" s="141" t="s">
        <v>4405</v>
      </c>
      <c r="P538" s="141" t="s">
        <v>4372</v>
      </c>
    </row>
    <row r="539" spans="1:16" ht="25.5">
      <c r="A539" s="141">
        <v>76807</v>
      </c>
      <c r="B539" s="141" t="s">
        <v>4325</v>
      </c>
      <c r="C539" s="142">
        <v>41201</v>
      </c>
      <c r="D539" s="141">
        <v>718</v>
      </c>
      <c r="E539" s="141" t="str">
        <f t="shared" si="45"/>
        <v>001</v>
      </c>
      <c r="F539" s="141" t="s">
        <v>4326</v>
      </c>
      <c r="G539" s="141" t="str">
        <f t="shared" si="47"/>
        <v>0311</v>
      </c>
      <c r="H539" s="141" t="s">
        <v>3068</v>
      </c>
      <c r="I539" s="141" t="str">
        <f t="shared" si="46"/>
        <v>999</v>
      </c>
      <c r="J539" s="141" t="s">
        <v>4327</v>
      </c>
      <c r="K539" s="141">
        <v>2146</v>
      </c>
      <c r="L539" s="141">
        <v>1</v>
      </c>
      <c r="M539" s="141">
        <v>0</v>
      </c>
      <c r="N539" s="141">
        <v>3000</v>
      </c>
      <c r="O539" s="141" t="s">
        <v>4405</v>
      </c>
      <c r="P539" s="141" t="s">
        <v>4372</v>
      </c>
    </row>
    <row r="540" spans="1:16" ht="25.5">
      <c r="A540" s="141">
        <v>76807</v>
      </c>
      <c r="B540" s="141" t="s">
        <v>4325</v>
      </c>
      <c r="C540" s="142">
        <v>41201</v>
      </c>
      <c r="D540" s="141">
        <v>718</v>
      </c>
      <c r="E540" s="141" t="str">
        <f t="shared" si="45"/>
        <v>001</v>
      </c>
      <c r="F540" s="141" t="s">
        <v>4326</v>
      </c>
      <c r="G540" s="141" t="str">
        <f t="shared" si="47"/>
        <v>0311</v>
      </c>
      <c r="H540" s="141" t="s">
        <v>3068</v>
      </c>
      <c r="I540" s="141" t="str">
        <f t="shared" si="46"/>
        <v>999</v>
      </c>
      <c r="J540" s="141" t="s">
        <v>4327</v>
      </c>
      <c r="K540" s="141">
        <v>2147</v>
      </c>
      <c r="L540" s="141">
        <v>1</v>
      </c>
      <c r="M540" s="141">
        <v>0</v>
      </c>
      <c r="N540" s="141">
        <v>3000</v>
      </c>
      <c r="O540" s="141" t="s">
        <v>4405</v>
      </c>
      <c r="P540" s="141" t="s">
        <v>4372</v>
      </c>
    </row>
    <row r="541" spans="1:16" ht="25.5">
      <c r="A541" s="141">
        <v>76807</v>
      </c>
      <c r="B541" s="141" t="s">
        <v>4325</v>
      </c>
      <c r="C541" s="142">
        <v>41201</v>
      </c>
      <c r="D541" s="141">
        <v>718</v>
      </c>
      <c r="E541" s="141" t="str">
        <f t="shared" si="45"/>
        <v>001</v>
      </c>
      <c r="F541" s="141" t="s">
        <v>4326</v>
      </c>
      <c r="G541" s="141" t="str">
        <f t="shared" si="47"/>
        <v>0311</v>
      </c>
      <c r="H541" s="141" t="s">
        <v>3068</v>
      </c>
      <c r="I541" s="141" t="str">
        <f t="shared" si="46"/>
        <v>999</v>
      </c>
      <c r="J541" s="141" t="s">
        <v>4327</v>
      </c>
      <c r="K541" s="141">
        <v>2148</v>
      </c>
      <c r="L541" s="141">
        <v>1</v>
      </c>
      <c r="M541" s="141">
        <v>0</v>
      </c>
      <c r="N541" s="141">
        <v>3000</v>
      </c>
      <c r="O541" s="141" t="s">
        <v>4405</v>
      </c>
      <c r="P541" s="141" t="s">
        <v>4372</v>
      </c>
    </row>
    <row r="542" spans="1:16" ht="25.5">
      <c r="A542" s="141">
        <v>76807</v>
      </c>
      <c r="B542" s="141" t="s">
        <v>4325</v>
      </c>
      <c r="C542" s="142">
        <v>41201</v>
      </c>
      <c r="D542" s="141">
        <v>718</v>
      </c>
      <c r="E542" s="141" t="str">
        <f t="shared" si="45"/>
        <v>001</v>
      </c>
      <c r="F542" s="141" t="s">
        <v>4326</v>
      </c>
      <c r="G542" s="141" t="str">
        <f t="shared" si="47"/>
        <v>0311</v>
      </c>
      <c r="H542" s="141" t="s">
        <v>3068</v>
      </c>
      <c r="I542" s="141" t="str">
        <f t="shared" si="46"/>
        <v>999</v>
      </c>
      <c r="J542" s="141" t="s">
        <v>4327</v>
      </c>
      <c r="K542" s="141">
        <v>2149</v>
      </c>
      <c r="L542" s="141">
        <v>1</v>
      </c>
      <c r="M542" s="141">
        <v>0</v>
      </c>
      <c r="N542" s="141">
        <v>3000</v>
      </c>
      <c r="O542" s="141" t="s">
        <v>4405</v>
      </c>
      <c r="P542" s="141" t="s">
        <v>4372</v>
      </c>
    </row>
    <row r="543" spans="1:16" ht="25.5">
      <c r="A543" s="141">
        <v>76807</v>
      </c>
      <c r="B543" s="141" t="s">
        <v>4325</v>
      </c>
      <c r="C543" s="142">
        <v>41201</v>
      </c>
      <c r="D543" s="141">
        <v>718</v>
      </c>
      <c r="E543" s="141" t="str">
        <f t="shared" si="45"/>
        <v>001</v>
      </c>
      <c r="F543" s="141" t="s">
        <v>4326</v>
      </c>
      <c r="G543" s="141" t="str">
        <f t="shared" si="47"/>
        <v>0311</v>
      </c>
      <c r="H543" s="141" t="s">
        <v>3068</v>
      </c>
      <c r="I543" s="141" t="str">
        <f t="shared" si="46"/>
        <v>999</v>
      </c>
      <c r="J543" s="141" t="s">
        <v>4327</v>
      </c>
      <c r="K543" s="141">
        <v>2150</v>
      </c>
      <c r="L543" s="141">
        <v>1</v>
      </c>
      <c r="M543" s="141">
        <v>0</v>
      </c>
      <c r="N543" s="141">
        <v>1000</v>
      </c>
      <c r="O543" s="141" t="s">
        <v>4381</v>
      </c>
      <c r="P543" s="141"/>
    </row>
    <row r="544" spans="1:16" ht="25.5">
      <c r="A544" s="141">
        <v>76807</v>
      </c>
      <c r="B544" s="141" t="s">
        <v>4325</v>
      </c>
      <c r="C544" s="142">
        <v>41201</v>
      </c>
      <c r="D544" s="141">
        <v>718</v>
      </c>
      <c r="E544" s="141" t="str">
        <f t="shared" si="45"/>
        <v>001</v>
      </c>
      <c r="F544" s="141" t="s">
        <v>4326</v>
      </c>
      <c r="G544" s="141" t="str">
        <f t="shared" si="47"/>
        <v>0311</v>
      </c>
      <c r="H544" s="141" t="s">
        <v>3068</v>
      </c>
      <c r="I544" s="141" t="str">
        <f t="shared" si="46"/>
        <v>999</v>
      </c>
      <c r="J544" s="141" t="s">
        <v>4327</v>
      </c>
      <c r="K544" s="141">
        <v>2151</v>
      </c>
      <c r="L544" s="141">
        <v>5</v>
      </c>
      <c r="M544" s="141">
        <v>0</v>
      </c>
      <c r="N544" s="141">
        <v>3000</v>
      </c>
      <c r="O544" s="141" t="s">
        <v>4350</v>
      </c>
      <c r="P544" s="141"/>
    </row>
    <row r="545" spans="1:16" ht="25.5">
      <c r="A545" s="141">
        <v>76807</v>
      </c>
      <c r="B545" s="141" t="s">
        <v>4325</v>
      </c>
      <c r="C545" s="142">
        <v>41201</v>
      </c>
      <c r="D545" s="141">
        <v>351</v>
      </c>
      <c r="E545" s="141" t="str">
        <f t="shared" si="45"/>
        <v>001</v>
      </c>
      <c r="F545" s="141" t="s">
        <v>4326</v>
      </c>
      <c r="G545" s="141" t="str">
        <f>"0313"</f>
        <v>0313</v>
      </c>
      <c r="H545" s="141" t="s">
        <v>727</v>
      </c>
      <c r="I545" s="141" t="str">
        <f t="shared" si="46"/>
        <v>999</v>
      </c>
      <c r="J545" s="141" t="s">
        <v>4327</v>
      </c>
      <c r="K545" s="141">
        <v>623</v>
      </c>
      <c r="L545" s="141">
        <v>1</v>
      </c>
      <c r="M545" s="141">
        <v>0</v>
      </c>
      <c r="N545" s="141">
        <v>19000</v>
      </c>
      <c r="O545" s="141" t="s">
        <v>4328</v>
      </c>
      <c r="P545" s="141" t="s">
        <v>4581</v>
      </c>
    </row>
    <row r="546" spans="1:16" ht="25.5">
      <c r="A546" s="141">
        <v>76807</v>
      </c>
      <c r="B546" s="141" t="s">
        <v>4325</v>
      </c>
      <c r="C546" s="142">
        <v>41201</v>
      </c>
      <c r="D546" s="141">
        <v>351</v>
      </c>
      <c r="E546" s="141" t="str">
        <f t="shared" si="45"/>
        <v>001</v>
      </c>
      <c r="F546" s="141" t="s">
        <v>4326</v>
      </c>
      <c r="G546" s="141" t="str">
        <f>"0313"</f>
        <v>0313</v>
      </c>
      <c r="H546" s="141" t="s">
        <v>727</v>
      </c>
      <c r="I546" s="141" t="str">
        <f t="shared" si="46"/>
        <v>999</v>
      </c>
      <c r="J546" s="141" t="s">
        <v>4327</v>
      </c>
      <c r="K546" s="141">
        <v>624</v>
      </c>
      <c r="L546" s="141">
        <v>3</v>
      </c>
      <c r="M546" s="141">
        <v>0</v>
      </c>
      <c r="N546" s="141">
        <v>13000</v>
      </c>
      <c r="O546" s="141" t="s">
        <v>4339</v>
      </c>
      <c r="P546" s="141" t="s">
        <v>4454</v>
      </c>
    </row>
    <row r="547" spans="1:16" ht="25.5">
      <c r="A547" s="141">
        <v>76807</v>
      </c>
      <c r="B547" s="141" t="s">
        <v>4325</v>
      </c>
      <c r="C547" s="142">
        <v>41201</v>
      </c>
      <c r="D547" s="141">
        <v>351</v>
      </c>
      <c r="E547" s="141" t="str">
        <f t="shared" si="45"/>
        <v>001</v>
      </c>
      <c r="F547" s="141" t="s">
        <v>4326</v>
      </c>
      <c r="G547" s="141" t="str">
        <f>"0313"</f>
        <v>0313</v>
      </c>
      <c r="H547" s="141" t="s">
        <v>727</v>
      </c>
      <c r="I547" s="141" t="str">
        <f t="shared" si="46"/>
        <v>999</v>
      </c>
      <c r="J547" s="141" t="s">
        <v>4327</v>
      </c>
      <c r="K547" s="141">
        <v>625</v>
      </c>
      <c r="L547" s="141">
        <v>4</v>
      </c>
      <c r="M547" s="141">
        <v>0</v>
      </c>
      <c r="N547" s="141">
        <v>10000</v>
      </c>
      <c r="O547" s="141" t="s">
        <v>4347</v>
      </c>
      <c r="P547" s="141"/>
    </row>
    <row r="548" spans="1:16" ht="25.5">
      <c r="A548" s="141">
        <v>76807</v>
      </c>
      <c r="B548" s="141" t="s">
        <v>4325</v>
      </c>
      <c r="C548" s="142">
        <v>41201</v>
      </c>
      <c r="D548" s="141">
        <v>351</v>
      </c>
      <c r="E548" s="141" t="str">
        <f t="shared" si="45"/>
        <v>001</v>
      </c>
      <c r="F548" s="141" t="s">
        <v>4326</v>
      </c>
      <c r="G548" s="141" t="str">
        <f>"0313"</f>
        <v>0313</v>
      </c>
      <c r="H548" s="141" t="s">
        <v>727</v>
      </c>
      <c r="I548" s="141" t="str">
        <f t="shared" si="46"/>
        <v>999</v>
      </c>
      <c r="J548" s="141" t="s">
        <v>4327</v>
      </c>
      <c r="K548" s="141">
        <v>626</v>
      </c>
      <c r="L548" s="141">
        <v>2</v>
      </c>
      <c r="M548" s="141">
        <v>0</v>
      </c>
      <c r="N548" s="141">
        <v>6000</v>
      </c>
      <c r="O548" s="141" t="s">
        <v>4526</v>
      </c>
      <c r="P548" s="141"/>
    </row>
    <row r="549" spans="1:16" ht="25.5">
      <c r="A549" s="141">
        <v>76807</v>
      </c>
      <c r="B549" s="141" t="s">
        <v>4325</v>
      </c>
      <c r="C549" s="142">
        <v>41201</v>
      </c>
      <c r="D549" s="141">
        <v>351</v>
      </c>
      <c r="E549" s="141" t="str">
        <f t="shared" si="45"/>
        <v>001</v>
      </c>
      <c r="F549" s="141" t="s">
        <v>4326</v>
      </c>
      <c r="G549" s="141" t="str">
        <f>"0313"</f>
        <v>0313</v>
      </c>
      <c r="H549" s="141" t="s">
        <v>727</v>
      </c>
      <c r="I549" s="141" t="str">
        <f t="shared" si="46"/>
        <v>999</v>
      </c>
      <c r="J549" s="141" t="s">
        <v>4327</v>
      </c>
      <c r="K549" s="141">
        <v>627</v>
      </c>
      <c r="L549" s="141">
        <v>1</v>
      </c>
      <c r="M549" s="141">
        <v>0</v>
      </c>
      <c r="N549" s="141">
        <v>2000</v>
      </c>
      <c r="O549" s="141" t="s">
        <v>4345</v>
      </c>
      <c r="P549" s="141"/>
    </row>
    <row r="550" spans="1:16" ht="25.5">
      <c r="A550" s="141">
        <v>76807</v>
      </c>
      <c r="B550" s="141" t="s">
        <v>4325</v>
      </c>
      <c r="C550" s="142">
        <v>41201</v>
      </c>
      <c r="D550" s="141">
        <v>343</v>
      </c>
      <c r="E550" s="141" t="str">
        <f t="shared" si="45"/>
        <v>001</v>
      </c>
      <c r="F550" s="141" t="s">
        <v>4326</v>
      </c>
      <c r="G550" s="141" t="str">
        <f>"0314"</f>
        <v>0314</v>
      </c>
      <c r="H550" s="141" t="s">
        <v>2562</v>
      </c>
      <c r="I550" s="141" t="str">
        <f t="shared" si="46"/>
        <v>999</v>
      </c>
      <c r="J550" s="141" t="s">
        <v>4327</v>
      </c>
      <c r="K550" s="141">
        <v>564</v>
      </c>
      <c r="L550" s="141">
        <v>1</v>
      </c>
      <c r="M550" s="141">
        <v>0</v>
      </c>
      <c r="N550" s="141">
        <v>2000</v>
      </c>
      <c r="O550" s="141" t="s">
        <v>4337</v>
      </c>
      <c r="P550" s="141" t="s">
        <v>4582</v>
      </c>
    </row>
    <row r="551" spans="1:16" ht="25.5">
      <c r="A551" s="141">
        <v>76807</v>
      </c>
      <c r="B551" s="141" t="s">
        <v>4325</v>
      </c>
      <c r="C551" s="142">
        <v>41201</v>
      </c>
      <c r="D551" s="141">
        <v>403</v>
      </c>
      <c r="E551" s="141" t="str">
        <f t="shared" si="45"/>
        <v>001</v>
      </c>
      <c r="F551" s="141" t="s">
        <v>4326</v>
      </c>
      <c r="G551" s="141" t="str">
        <f>"0315"</f>
        <v>0315</v>
      </c>
      <c r="H551" s="141" t="s">
        <v>674</v>
      </c>
      <c r="I551" s="141" t="str">
        <f t="shared" si="46"/>
        <v>999</v>
      </c>
      <c r="J551" s="141" t="s">
        <v>4327</v>
      </c>
      <c r="K551" s="141">
        <v>1081</v>
      </c>
      <c r="L551" s="141">
        <v>2</v>
      </c>
      <c r="M551" s="141">
        <v>0</v>
      </c>
      <c r="N551" s="141">
        <v>1000</v>
      </c>
      <c r="O551" s="141" t="s">
        <v>4343</v>
      </c>
      <c r="P551" s="141"/>
    </row>
    <row r="552" spans="1:16" ht="25.5">
      <c r="A552" s="141">
        <v>76807</v>
      </c>
      <c r="B552" s="141" t="s">
        <v>4325</v>
      </c>
      <c r="C552" s="142">
        <v>41201</v>
      </c>
      <c r="D552" s="141">
        <v>1267</v>
      </c>
      <c r="E552" s="141" t="str">
        <f t="shared" si="45"/>
        <v>001</v>
      </c>
      <c r="F552" s="141" t="s">
        <v>4326</v>
      </c>
      <c r="G552" s="141" t="str">
        <f>"0317"</f>
        <v>0317</v>
      </c>
      <c r="H552" s="141" t="s">
        <v>4583</v>
      </c>
      <c r="I552" s="141" t="str">
        <f t="shared" si="46"/>
        <v>999</v>
      </c>
      <c r="J552" s="141" t="s">
        <v>4327</v>
      </c>
      <c r="K552" s="141">
        <v>3377</v>
      </c>
      <c r="L552" s="141">
        <v>1</v>
      </c>
      <c r="M552" s="141">
        <v>0</v>
      </c>
      <c r="N552" s="141">
        <v>1127000</v>
      </c>
      <c r="O552" s="141" t="s">
        <v>4327</v>
      </c>
      <c r="P552" s="141"/>
    </row>
    <row r="553" spans="1:16" ht="25.5">
      <c r="A553" s="141">
        <v>76807</v>
      </c>
      <c r="B553" s="141" t="s">
        <v>4325</v>
      </c>
      <c r="C553" s="142">
        <v>41201</v>
      </c>
      <c r="D553" s="141">
        <v>448</v>
      </c>
      <c r="E553" s="141" t="str">
        <f t="shared" si="45"/>
        <v>001</v>
      </c>
      <c r="F553" s="141" t="s">
        <v>4326</v>
      </c>
      <c r="G553" s="141" t="str">
        <f t="shared" ref="G553:G560" si="48">"0318"</f>
        <v>0318</v>
      </c>
      <c r="H553" s="141" t="s">
        <v>1627</v>
      </c>
      <c r="I553" s="141" t="str">
        <f t="shared" si="46"/>
        <v>999</v>
      </c>
      <c r="J553" s="141" t="s">
        <v>4327</v>
      </c>
      <c r="K553" s="141">
        <v>1327</v>
      </c>
      <c r="L553" s="141">
        <v>1</v>
      </c>
      <c r="M553" s="141">
        <v>0</v>
      </c>
      <c r="N553" s="141">
        <v>16000</v>
      </c>
      <c r="O553" s="141" t="s">
        <v>4328</v>
      </c>
      <c r="P553" s="141" t="s">
        <v>4584</v>
      </c>
    </row>
    <row r="554" spans="1:16" ht="25.5">
      <c r="A554" s="141">
        <v>76807</v>
      </c>
      <c r="B554" s="141" t="s">
        <v>4325</v>
      </c>
      <c r="C554" s="142">
        <v>41201</v>
      </c>
      <c r="D554" s="141">
        <v>448</v>
      </c>
      <c r="E554" s="141" t="str">
        <f t="shared" si="45"/>
        <v>001</v>
      </c>
      <c r="F554" s="141" t="s">
        <v>4326</v>
      </c>
      <c r="G554" s="141" t="str">
        <f t="shared" si="48"/>
        <v>0318</v>
      </c>
      <c r="H554" s="141" t="s">
        <v>1627</v>
      </c>
      <c r="I554" s="141" t="str">
        <f t="shared" si="46"/>
        <v>999</v>
      </c>
      <c r="J554" s="141" t="s">
        <v>4327</v>
      </c>
      <c r="K554" s="141">
        <v>1328</v>
      </c>
      <c r="L554" s="141">
        <v>1</v>
      </c>
      <c r="M554" s="141">
        <v>0</v>
      </c>
      <c r="N554" s="141">
        <v>24000</v>
      </c>
      <c r="O554" s="141" t="s">
        <v>4337</v>
      </c>
      <c r="P554" s="141" t="s">
        <v>4585</v>
      </c>
    </row>
    <row r="555" spans="1:16" ht="25.5">
      <c r="A555" s="141">
        <v>76807</v>
      </c>
      <c r="B555" s="141" t="s">
        <v>4325</v>
      </c>
      <c r="C555" s="142">
        <v>41201</v>
      </c>
      <c r="D555" s="141">
        <v>448</v>
      </c>
      <c r="E555" s="141" t="str">
        <f t="shared" si="45"/>
        <v>001</v>
      </c>
      <c r="F555" s="141" t="s">
        <v>4326</v>
      </c>
      <c r="G555" s="141" t="str">
        <f t="shared" si="48"/>
        <v>0318</v>
      </c>
      <c r="H555" s="141" t="s">
        <v>1627</v>
      </c>
      <c r="I555" s="141" t="str">
        <f t="shared" si="46"/>
        <v>999</v>
      </c>
      <c r="J555" s="141" t="s">
        <v>4327</v>
      </c>
      <c r="K555" s="141">
        <v>1329</v>
      </c>
      <c r="L555" s="141">
        <v>6</v>
      </c>
      <c r="M555" s="141">
        <v>0</v>
      </c>
      <c r="N555" s="141">
        <v>4000</v>
      </c>
      <c r="O555" s="141" t="s">
        <v>4343</v>
      </c>
      <c r="P555" s="141"/>
    </row>
    <row r="556" spans="1:16" ht="25.5">
      <c r="A556" s="141">
        <v>76807</v>
      </c>
      <c r="B556" s="141" t="s">
        <v>4325</v>
      </c>
      <c r="C556" s="142">
        <v>41201</v>
      </c>
      <c r="D556" s="141">
        <v>448</v>
      </c>
      <c r="E556" s="141" t="str">
        <f t="shared" si="45"/>
        <v>001</v>
      </c>
      <c r="F556" s="141" t="s">
        <v>4326</v>
      </c>
      <c r="G556" s="141" t="str">
        <f t="shared" si="48"/>
        <v>0318</v>
      </c>
      <c r="H556" s="141" t="s">
        <v>1627</v>
      </c>
      <c r="I556" s="141" t="str">
        <f t="shared" si="46"/>
        <v>999</v>
      </c>
      <c r="J556" s="141" t="s">
        <v>4327</v>
      </c>
      <c r="K556" s="141">
        <v>1330</v>
      </c>
      <c r="L556" s="141">
        <v>8</v>
      </c>
      <c r="M556" s="141">
        <v>0</v>
      </c>
      <c r="N556" s="141">
        <v>4000</v>
      </c>
      <c r="O556" s="141" t="s">
        <v>4350</v>
      </c>
      <c r="P556" s="141"/>
    </row>
    <row r="557" spans="1:16" ht="25.5">
      <c r="A557" s="141">
        <v>76807</v>
      </c>
      <c r="B557" s="141" t="s">
        <v>4325</v>
      </c>
      <c r="C557" s="142">
        <v>41201</v>
      </c>
      <c r="D557" s="141">
        <v>448</v>
      </c>
      <c r="E557" s="141" t="str">
        <f t="shared" si="45"/>
        <v>001</v>
      </c>
      <c r="F557" s="141" t="s">
        <v>4326</v>
      </c>
      <c r="G557" s="141" t="str">
        <f t="shared" si="48"/>
        <v>0318</v>
      </c>
      <c r="H557" s="141" t="s">
        <v>1627</v>
      </c>
      <c r="I557" s="141" t="str">
        <f t="shared" si="46"/>
        <v>999</v>
      </c>
      <c r="J557" s="141" t="s">
        <v>4327</v>
      </c>
      <c r="K557" s="141">
        <v>1331</v>
      </c>
      <c r="L557" s="141">
        <v>3</v>
      </c>
      <c r="M557" s="141">
        <v>0</v>
      </c>
      <c r="N557" s="141">
        <v>19000</v>
      </c>
      <c r="O557" s="141" t="s">
        <v>4407</v>
      </c>
      <c r="P557" s="141"/>
    </row>
    <row r="558" spans="1:16" ht="25.5">
      <c r="A558" s="141">
        <v>76807</v>
      </c>
      <c r="B558" s="141" t="s">
        <v>4325</v>
      </c>
      <c r="C558" s="142">
        <v>41201</v>
      </c>
      <c r="D558" s="141">
        <v>448</v>
      </c>
      <c r="E558" s="141" t="str">
        <f t="shared" si="45"/>
        <v>001</v>
      </c>
      <c r="F558" s="141" t="s">
        <v>4326</v>
      </c>
      <c r="G558" s="141" t="str">
        <f t="shared" si="48"/>
        <v>0318</v>
      </c>
      <c r="H558" s="141" t="s">
        <v>1627</v>
      </c>
      <c r="I558" s="141" t="str">
        <f t="shared" si="46"/>
        <v>999</v>
      </c>
      <c r="J558" s="141" t="s">
        <v>4327</v>
      </c>
      <c r="K558" s="141">
        <v>1332</v>
      </c>
      <c r="L558" s="141">
        <v>2</v>
      </c>
      <c r="M558" s="141">
        <v>0</v>
      </c>
      <c r="N558" s="141">
        <v>11000</v>
      </c>
      <c r="O558" s="141" t="s">
        <v>4540</v>
      </c>
      <c r="P558" s="141"/>
    </row>
    <row r="559" spans="1:16" ht="25.5">
      <c r="A559" s="141">
        <v>76807</v>
      </c>
      <c r="B559" s="141" t="s">
        <v>4325</v>
      </c>
      <c r="C559" s="142">
        <v>41201</v>
      </c>
      <c r="D559" s="141">
        <v>448</v>
      </c>
      <c r="E559" s="141" t="str">
        <f t="shared" si="45"/>
        <v>001</v>
      </c>
      <c r="F559" s="141" t="s">
        <v>4326</v>
      </c>
      <c r="G559" s="141" t="str">
        <f t="shared" si="48"/>
        <v>0318</v>
      </c>
      <c r="H559" s="141" t="s">
        <v>1627</v>
      </c>
      <c r="I559" s="141" t="str">
        <f t="shared" si="46"/>
        <v>999</v>
      </c>
      <c r="J559" s="141" t="s">
        <v>4327</v>
      </c>
      <c r="K559" s="141">
        <v>1333</v>
      </c>
      <c r="L559" s="141">
        <v>1</v>
      </c>
      <c r="M559" s="141">
        <v>0</v>
      </c>
      <c r="N559" s="141">
        <v>2000</v>
      </c>
      <c r="O559" s="141" t="s">
        <v>4330</v>
      </c>
      <c r="P559" s="141" t="s">
        <v>4356</v>
      </c>
    </row>
    <row r="560" spans="1:16" ht="25.5">
      <c r="A560" s="141">
        <v>76807</v>
      </c>
      <c r="B560" s="141" t="s">
        <v>4325</v>
      </c>
      <c r="C560" s="142">
        <v>41201</v>
      </c>
      <c r="D560" s="141">
        <v>448</v>
      </c>
      <c r="E560" s="141" t="str">
        <f t="shared" si="45"/>
        <v>001</v>
      </c>
      <c r="F560" s="141" t="s">
        <v>4326</v>
      </c>
      <c r="G560" s="141" t="str">
        <f t="shared" si="48"/>
        <v>0318</v>
      </c>
      <c r="H560" s="141" t="s">
        <v>1627</v>
      </c>
      <c r="I560" s="141" t="str">
        <f t="shared" si="46"/>
        <v>999</v>
      </c>
      <c r="J560" s="141" t="s">
        <v>4327</v>
      </c>
      <c r="K560" s="141">
        <v>1334</v>
      </c>
      <c r="L560" s="141">
        <v>18</v>
      </c>
      <c r="M560" s="141">
        <v>0</v>
      </c>
      <c r="N560" s="141">
        <v>253000</v>
      </c>
      <c r="O560" s="141" t="s">
        <v>4357</v>
      </c>
      <c r="P560" s="141" t="s">
        <v>4586</v>
      </c>
    </row>
    <row r="561" spans="1:16" ht="25.5">
      <c r="A561" s="141">
        <v>76807</v>
      </c>
      <c r="B561" s="141" t="s">
        <v>4325</v>
      </c>
      <c r="C561" s="142">
        <v>41201</v>
      </c>
      <c r="D561" s="141">
        <v>342</v>
      </c>
      <c r="E561" s="141" t="str">
        <f t="shared" si="45"/>
        <v>001</v>
      </c>
      <c r="F561" s="141" t="s">
        <v>4326</v>
      </c>
      <c r="G561" s="141" t="str">
        <f t="shared" ref="G561:G577" si="49">"0319"</f>
        <v>0319</v>
      </c>
      <c r="H561" s="141" t="s">
        <v>3033</v>
      </c>
      <c r="I561" s="141" t="str">
        <f t="shared" si="46"/>
        <v>999</v>
      </c>
      <c r="J561" s="141" t="s">
        <v>4327</v>
      </c>
      <c r="K561" s="141">
        <v>547</v>
      </c>
      <c r="L561" s="141">
        <v>1</v>
      </c>
      <c r="M561" s="141">
        <v>0</v>
      </c>
      <c r="N561" s="141">
        <v>22000</v>
      </c>
      <c r="O561" s="141" t="s">
        <v>4328</v>
      </c>
      <c r="P561" s="141" t="s">
        <v>4587</v>
      </c>
    </row>
    <row r="562" spans="1:16" ht="25.5">
      <c r="A562" s="141">
        <v>76807</v>
      </c>
      <c r="B562" s="141" t="s">
        <v>4325</v>
      </c>
      <c r="C562" s="142">
        <v>41201</v>
      </c>
      <c r="D562" s="141">
        <v>342</v>
      </c>
      <c r="E562" s="141" t="str">
        <f t="shared" si="45"/>
        <v>001</v>
      </c>
      <c r="F562" s="141" t="s">
        <v>4326</v>
      </c>
      <c r="G562" s="141" t="str">
        <f t="shared" si="49"/>
        <v>0319</v>
      </c>
      <c r="H562" s="141" t="s">
        <v>3033</v>
      </c>
      <c r="I562" s="141" t="str">
        <f t="shared" si="46"/>
        <v>999</v>
      </c>
      <c r="J562" s="141" t="s">
        <v>4327</v>
      </c>
      <c r="K562" s="141">
        <v>548</v>
      </c>
      <c r="L562" s="141">
        <v>21</v>
      </c>
      <c r="M562" s="141">
        <v>0</v>
      </c>
      <c r="N562" s="141">
        <v>33000</v>
      </c>
      <c r="O562" s="141" t="s">
        <v>4339</v>
      </c>
      <c r="P562" s="141" t="s">
        <v>4363</v>
      </c>
    </row>
    <row r="563" spans="1:16" ht="25.5">
      <c r="A563" s="141">
        <v>76807</v>
      </c>
      <c r="B563" s="141" t="s">
        <v>4325</v>
      </c>
      <c r="C563" s="142">
        <v>41201</v>
      </c>
      <c r="D563" s="141">
        <v>342</v>
      </c>
      <c r="E563" s="141" t="str">
        <f t="shared" si="45"/>
        <v>001</v>
      </c>
      <c r="F563" s="141" t="s">
        <v>4326</v>
      </c>
      <c r="G563" s="141" t="str">
        <f t="shared" si="49"/>
        <v>0319</v>
      </c>
      <c r="H563" s="141" t="s">
        <v>3033</v>
      </c>
      <c r="I563" s="141" t="str">
        <f t="shared" si="46"/>
        <v>999</v>
      </c>
      <c r="J563" s="141" t="s">
        <v>4327</v>
      </c>
      <c r="K563" s="141">
        <v>549</v>
      </c>
      <c r="L563" s="141">
        <v>3</v>
      </c>
      <c r="M563" s="141">
        <v>0</v>
      </c>
      <c r="N563" s="141">
        <v>31000</v>
      </c>
      <c r="O563" s="141" t="s">
        <v>4357</v>
      </c>
      <c r="P563" s="141" t="s">
        <v>4359</v>
      </c>
    </row>
    <row r="564" spans="1:16" ht="25.5">
      <c r="A564" s="141">
        <v>76807</v>
      </c>
      <c r="B564" s="141" t="s">
        <v>4325</v>
      </c>
      <c r="C564" s="142">
        <v>41201</v>
      </c>
      <c r="D564" s="141">
        <v>342</v>
      </c>
      <c r="E564" s="141" t="str">
        <f t="shared" si="45"/>
        <v>001</v>
      </c>
      <c r="F564" s="141" t="s">
        <v>4326</v>
      </c>
      <c r="G564" s="141" t="str">
        <f t="shared" si="49"/>
        <v>0319</v>
      </c>
      <c r="H564" s="141" t="s">
        <v>3033</v>
      </c>
      <c r="I564" s="141" t="str">
        <f t="shared" si="46"/>
        <v>999</v>
      </c>
      <c r="J564" s="141" t="s">
        <v>4327</v>
      </c>
      <c r="K564" s="141">
        <v>550</v>
      </c>
      <c r="L564" s="141">
        <v>1</v>
      </c>
      <c r="M564" s="141">
        <v>0</v>
      </c>
      <c r="N564" s="141">
        <v>12000</v>
      </c>
      <c r="O564" s="141" t="s">
        <v>4357</v>
      </c>
      <c r="P564" s="141" t="s">
        <v>4588</v>
      </c>
    </row>
    <row r="565" spans="1:16" ht="25.5">
      <c r="A565" s="141">
        <v>76807</v>
      </c>
      <c r="B565" s="141" t="s">
        <v>4325</v>
      </c>
      <c r="C565" s="142">
        <v>41201</v>
      </c>
      <c r="D565" s="141">
        <v>342</v>
      </c>
      <c r="E565" s="141" t="str">
        <f t="shared" si="45"/>
        <v>001</v>
      </c>
      <c r="F565" s="141" t="s">
        <v>4326</v>
      </c>
      <c r="G565" s="141" t="str">
        <f t="shared" si="49"/>
        <v>0319</v>
      </c>
      <c r="H565" s="141" t="s">
        <v>3033</v>
      </c>
      <c r="I565" s="141" t="str">
        <f t="shared" si="46"/>
        <v>999</v>
      </c>
      <c r="J565" s="141" t="s">
        <v>4327</v>
      </c>
      <c r="K565" s="141">
        <v>551</v>
      </c>
      <c r="L565" s="141">
        <v>1</v>
      </c>
      <c r="M565" s="141">
        <v>0</v>
      </c>
      <c r="N565" s="141">
        <v>68000</v>
      </c>
      <c r="O565" s="141" t="s">
        <v>4368</v>
      </c>
      <c r="P565" s="141"/>
    </row>
    <row r="566" spans="1:16" ht="25.5">
      <c r="A566" s="141">
        <v>76807</v>
      </c>
      <c r="B566" s="141" t="s">
        <v>4325</v>
      </c>
      <c r="C566" s="142">
        <v>41201</v>
      </c>
      <c r="D566" s="141">
        <v>342</v>
      </c>
      <c r="E566" s="141" t="str">
        <f t="shared" si="45"/>
        <v>001</v>
      </c>
      <c r="F566" s="141" t="s">
        <v>4326</v>
      </c>
      <c r="G566" s="141" t="str">
        <f t="shared" si="49"/>
        <v>0319</v>
      </c>
      <c r="H566" s="141" t="s">
        <v>3033</v>
      </c>
      <c r="I566" s="141" t="str">
        <f t="shared" si="46"/>
        <v>999</v>
      </c>
      <c r="J566" s="141" t="s">
        <v>4327</v>
      </c>
      <c r="K566" s="141">
        <v>552</v>
      </c>
      <c r="L566" s="141">
        <v>1</v>
      </c>
      <c r="M566" s="141">
        <v>0</v>
      </c>
      <c r="N566" s="141">
        <v>1000</v>
      </c>
      <c r="O566" s="141" t="s">
        <v>4381</v>
      </c>
      <c r="P566" s="141"/>
    </row>
    <row r="567" spans="1:16" ht="25.5">
      <c r="A567" s="141">
        <v>76807</v>
      </c>
      <c r="B567" s="141" t="s">
        <v>4325</v>
      </c>
      <c r="C567" s="142">
        <v>41201</v>
      </c>
      <c r="D567" s="141">
        <v>342</v>
      </c>
      <c r="E567" s="141" t="str">
        <f t="shared" si="45"/>
        <v>001</v>
      </c>
      <c r="F567" s="141" t="s">
        <v>4326</v>
      </c>
      <c r="G567" s="141" t="str">
        <f t="shared" si="49"/>
        <v>0319</v>
      </c>
      <c r="H567" s="141" t="s">
        <v>3033</v>
      </c>
      <c r="I567" s="141" t="str">
        <f t="shared" si="46"/>
        <v>999</v>
      </c>
      <c r="J567" s="141" t="s">
        <v>4327</v>
      </c>
      <c r="K567" s="141">
        <v>553</v>
      </c>
      <c r="L567" s="141">
        <v>5</v>
      </c>
      <c r="M567" s="141">
        <v>0</v>
      </c>
      <c r="N567" s="141">
        <v>3000</v>
      </c>
      <c r="O567" s="141" t="s">
        <v>4350</v>
      </c>
      <c r="P567" s="141"/>
    </row>
    <row r="568" spans="1:16" ht="25.5">
      <c r="A568" s="141">
        <v>76807</v>
      </c>
      <c r="B568" s="141" t="s">
        <v>4325</v>
      </c>
      <c r="C568" s="142">
        <v>41201</v>
      </c>
      <c r="D568" s="141">
        <v>342</v>
      </c>
      <c r="E568" s="141" t="str">
        <f t="shared" si="45"/>
        <v>001</v>
      </c>
      <c r="F568" s="141" t="s">
        <v>4326</v>
      </c>
      <c r="G568" s="141" t="str">
        <f t="shared" si="49"/>
        <v>0319</v>
      </c>
      <c r="H568" s="141" t="s">
        <v>3033</v>
      </c>
      <c r="I568" s="141" t="str">
        <f t="shared" si="46"/>
        <v>999</v>
      </c>
      <c r="J568" s="141" t="s">
        <v>4327</v>
      </c>
      <c r="K568" s="141">
        <v>554</v>
      </c>
      <c r="L568" s="141">
        <v>1</v>
      </c>
      <c r="M568" s="141">
        <v>0</v>
      </c>
      <c r="N568" s="141">
        <v>1000</v>
      </c>
      <c r="O568" s="141" t="s">
        <v>4536</v>
      </c>
      <c r="P568" s="141"/>
    </row>
    <row r="569" spans="1:16" ht="25.5">
      <c r="A569" s="141">
        <v>76807</v>
      </c>
      <c r="B569" s="141" t="s">
        <v>4325</v>
      </c>
      <c r="C569" s="142">
        <v>41201</v>
      </c>
      <c r="D569" s="141">
        <v>342</v>
      </c>
      <c r="E569" s="141" t="str">
        <f t="shared" si="45"/>
        <v>001</v>
      </c>
      <c r="F569" s="141" t="s">
        <v>4326</v>
      </c>
      <c r="G569" s="141" t="str">
        <f t="shared" si="49"/>
        <v>0319</v>
      </c>
      <c r="H569" s="141" t="s">
        <v>3033</v>
      </c>
      <c r="I569" s="141" t="str">
        <f t="shared" si="46"/>
        <v>999</v>
      </c>
      <c r="J569" s="141" t="s">
        <v>4327</v>
      </c>
      <c r="K569" s="141">
        <v>555</v>
      </c>
      <c r="L569" s="141">
        <v>1</v>
      </c>
      <c r="M569" s="141">
        <v>0</v>
      </c>
      <c r="N569" s="141">
        <v>2000</v>
      </c>
      <c r="O569" s="141" t="s">
        <v>4345</v>
      </c>
      <c r="P569" s="141"/>
    </row>
    <row r="570" spans="1:16" ht="25.5">
      <c r="A570" s="141">
        <v>76807</v>
      </c>
      <c r="B570" s="141" t="s">
        <v>4325</v>
      </c>
      <c r="C570" s="142">
        <v>41201</v>
      </c>
      <c r="D570" s="141">
        <v>342</v>
      </c>
      <c r="E570" s="141" t="str">
        <f t="shared" si="45"/>
        <v>001</v>
      </c>
      <c r="F570" s="141" t="s">
        <v>4326</v>
      </c>
      <c r="G570" s="141" t="str">
        <f t="shared" si="49"/>
        <v>0319</v>
      </c>
      <c r="H570" s="141" t="s">
        <v>3033</v>
      </c>
      <c r="I570" s="141" t="str">
        <f t="shared" si="46"/>
        <v>999</v>
      </c>
      <c r="J570" s="141" t="s">
        <v>4327</v>
      </c>
      <c r="K570" s="141">
        <v>556</v>
      </c>
      <c r="L570" s="141">
        <v>1</v>
      </c>
      <c r="M570" s="141">
        <v>0</v>
      </c>
      <c r="N570" s="141">
        <v>4000</v>
      </c>
      <c r="O570" s="141" t="s">
        <v>4371</v>
      </c>
      <c r="P570" s="141" t="s">
        <v>4372</v>
      </c>
    </row>
    <row r="571" spans="1:16" ht="25.5">
      <c r="A571" s="141">
        <v>76807</v>
      </c>
      <c r="B571" s="141" t="s">
        <v>4325</v>
      </c>
      <c r="C571" s="142">
        <v>41201</v>
      </c>
      <c r="D571" s="141">
        <v>342</v>
      </c>
      <c r="E571" s="141" t="str">
        <f t="shared" si="45"/>
        <v>001</v>
      </c>
      <c r="F571" s="141" t="s">
        <v>4326</v>
      </c>
      <c r="G571" s="141" t="str">
        <f t="shared" si="49"/>
        <v>0319</v>
      </c>
      <c r="H571" s="141" t="s">
        <v>3033</v>
      </c>
      <c r="I571" s="141" t="str">
        <f t="shared" si="46"/>
        <v>999</v>
      </c>
      <c r="J571" s="141" t="s">
        <v>4327</v>
      </c>
      <c r="K571" s="141">
        <v>557</v>
      </c>
      <c r="L571" s="141">
        <v>1</v>
      </c>
      <c r="M571" s="141">
        <v>0</v>
      </c>
      <c r="N571" s="141">
        <v>4000</v>
      </c>
      <c r="O571" s="141" t="s">
        <v>4371</v>
      </c>
      <c r="P571" s="141" t="s">
        <v>4372</v>
      </c>
    </row>
    <row r="572" spans="1:16" ht="25.5">
      <c r="A572" s="141">
        <v>76807</v>
      </c>
      <c r="B572" s="141" t="s">
        <v>4325</v>
      </c>
      <c r="C572" s="142">
        <v>41201</v>
      </c>
      <c r="D572" s="141">
        <v>342</v>
      </c>
      <c r="E572" s="141" t="str">
        <f t="shared" si="45"/>
        <v>001</v>
      </c>
      <c r="F572" s="141" t="s">
        <v>4326</v>
      </c>
      <c r="G572" s="141" t="str">
        <f t="shared" si="49"/>
        <v>0319</v>
      </c>
      <c r="H572" s="141" t="s">
        <v>3033</v>
      </c>
      <c r="I572" s="141" t="str">
        <f t="shared" si="46"/>
        <v>999</v>
      </c>
      <c r="J572" s="141" t="s">
        <v>4327</v>
      </c>
      <c r="K572" s="141">
        <v>558</v>
      </c>
      <c r="L572" s="141">
        <v>1</v>
      </c>
      <c r="M572" s="141">
        <v>0</v>
      </c>
      <c r="N572" s="141">
        <v>4000</v>
      </c>
      <c r="O572" s="141" t="s">
        <v>4371</v>
      </c>
      <c r="P572" s="141" t="s">
        <v>4372</v>
      </c>
    </row>
    <row r="573" spans="1:16" ht="25.5">
      <c r="A573" s="141">
        <v>76807</v>
      </c>
      <c r="B573" s="141" t="s">
        <v>4325</v>
      </c>
      <c r="C573" s="142">
        <v>41201</v>
      </c>
      <c r="D573" s="141">
        <v>342</v>
      </c>
      <c r="E573" s="141" t="str">
        <f t="shared" si="45"/>
        <v>001</v>
      </c>
      <c r="F573" s="141" t="s">
        <v>4326</v>
      </c>
      <c r="G573" s="141" t="str">
        <f t="shared" si="49"/>
        <v>0319</v>
      </c>
      <c r="H573" s="141" t="s">
        <v>3033</v>
      </c>
      <c r="I573" s="141" t="str">
        <f t="shared" si="46"/>
        <v>999</v>
      </c>
      <c r="J573" s="141" t="s">
        <v>4327</v>
      </c>
      <c r="K573" s="141">
        <v>559</v>
      </c>
      <c r="L573" s="141">
        <v>1</v>
      </c>
      <c r="M573" s="141">
        <v>0</v>
      </c>
      <c r="N573" s="141">
        <v>3000</v>
      </c>
      <c r="O573" s="141" t="s">
        <v>4405</v>
      </c>
      <c r="P573" s="141" t="s">
        <v>4372</v>
      </c>
    </row>
    <row r="574" spans="1:16" ht="25.5">
      <c r="A574" s="141">
        <v>76807</v>
      </c>
      <c r="B574" s="141" t="s">
        <v>4325</v>
      </c>
      <c r="C574" s="142">
        <v>41201</v>
      </c>
      <c r="D574" s="141">
        <v>342</v>
      </c>
      <c r="E574" s="141" t="str">
        <f t="shared" si="45"/>
        <v>001</v>
      </c>
      <c r="F574" s="141" t="s">
        <v>4326</v>
      </c>
      <c r="G574" s="141" t="str">
        <f t="shared" si="49"/>
        <v>0319</v>
      </c>
      <c r="H574" s="141" t="s">
        <v>3033</v>
      </c>
      <c r="I574" s="141" t="str">
        <f t="shared" si="46"/>
        <v>999</v>
      </c>
      <c r="J574" s="141" t="s">
        <v>4327</v>
      </c>
      <c r="K574" s="141">
        <v>560</v>
      </c>
      <c r="L574" s="141">
        <v>1</v>
      </c>
      <c r="M574" s="141">
        <v>0</v>
      </c>
      <c r="N574" s="141">
        <v>3000</v>
      </c>
      <c r="O574" s="141" t="s">
        <v>4405</v>
      </c>
      <c r="P574" s="141" t="s">
        <v>4372</v>
      </c>
    </row>
    <row r="575" spans="1:16" ht="25.5">
      <c r="A575" s="141">
        <v>76807</v>
      </c>
      <c r="B575" s="141" t="s">
        <v>4325</v>
      </c>
      <c r="C575" s="142">
        <v>41201</v>
      </c>
      <c r="D575" s="141">
        <v>342</v>
      </c>
      <c r="E575" s="141" t="str">
        <f t="shared" si="45"/>
        <v>001</v>
      </c>
      <c r="F575" s="141" t="s">
        <v>4326</v>
      </c>
      <c r="G575" s="141" t="str">
        <f t="shared" si="49"/>
        <v>0319</v>
      </c>
      <c r="H575" s="141" t="s">
        <v>3033</v>
      </c>
      <c r="I575" s="141" t="str">
        <f t="shared" si="46"/>
        <v>999</v>
      </c>
      <c r="J575" s="141" t="s">
        <v>4327</v>
      </c>
      <c r="K575" s="141">
        <v>561</v>
      </c>
      <c r="L575" s="141">
        <v>2</v>
      </c>
      <c r="M575" s="141">
        <v>0</v>
      </c>
      <c r="N575" s="141">
        <v>9000</v>
      </c>
      <c r="O575" s="141" t="s">
        <v>4406</v>
      </c>
      <c r="P575" s="141"/>
    </row>
    <row r="576" spans="1:16" ht="25.5">
      <c r="A576" s="141">
        <v>76807</v>
      </c>
      <c r="B576" s="141" t="s">
        <v>4325</v>
      </c>
      <c r="C576" s="142">
        <v>41201</v>
      </c>
      <c r="D576" s="141">
        <v>342</v>
      </c>
      <c r="E576" s="141" t="str">
        <f t="shared" si="45"/>
        <v>001</v>
      </c>
      <c r="F576" s="141" t="s">
        <v>4326</v>
      </c>
      <c r="G576" s="141" t="str">
        <f t="shared" si="49"/>
        <v>0319</v>
      </c>
      <c r="H576" s="141" t="s">
        <v>3033</v>
      </c>
      <c r="I576" s="141" t="str">
        <f t="shared" si="46"/>
        <v>999</v>
      </c>
      <c r="J576" s="141" t="s">
        <v>4327</v>
      </c>
      <c r="K576" s="141">
        <v>562</v>
      </c>
      <c r="L576" s="141">
        <v>1</v>
      </c>
      <c r="M576" s="141">
        <v>0</v>
      </c>
      <c r="N576" s="141">
        <v>2000</v>
      </c>
      <c r="O576" s="141" t="s">
        <v>4347</v>
      </c>
      <c r="P576" s="141"/>
    </row>
    <row r="577" spans="1:16" ht="25.5">
      <c r="A577" s="141">
        <v>76807</v>
      </c>
      <c r="B577" s="141" t="s">
        <v>4325</v>
      </c>
      <c r="C577" s="142">
        <v>41201</v>
      </c>
      <c r="D577" s="141">
        <v>342</v>
      </c>
      <c r="E577" s="141" t="str">
        <f t="shared" si="45"/>
        <v>001</v>
      </c>
      <c r="F577" s="141" t="s">
        <v>4326</v>
      </c>
      <c r="G577" s="141" t="str">
        <f t="shared" si="49"/>
        <v>0319</v>
      </c>
      <c r="H577" s="141" t="s">
        <v>3033</v>
      </c>
      <c r="I577" s="141" t="str">
        <f t="shared" si="46"/>
        <v>999</v>
      </c>
      <c r="J577" s="141" t="s">
        <v>4327</v>
      </c>
      <c r="K577" s="141">
        <v>563</v>
      </c>
      <c r="L577" s="141">
        <v>1</v>
      </c>
      <c r="M577" s="141">
        <v>0</v>
      </c>
      <c r="N577" s="141">
        <v>2000</v>
      </c>
      <c r="O577" s="141" t="s">
        <v>4484</v>
      </c>
      <c r="P577" s="141"/>
    </row>
    <row r="578" spans="1:16" ht="25.5">
      <c r="A578" s="141">
        <v>76807</v>
      </c>
      <c r="B578" s="141" t="s">
        <v>4325</v>
      </c>
      <c r="C578" s="142">
        <v>41201</v>
      </c>
      <c r="D578" s="141">
        <v>336</v>
      </c>
      <c r="E578" s="141" t="str">
        <f t="shared" ref="E578:E641" si="50">"001"</f>
        <v>001</v>
      </c>
      <c r="F578" s="141" t="s">
        <v>4326</v>
      </c>
      <c r="G578" s="141" t="str">
        <f t="shared" ref="G578:G593" si="51">"0324"</f>
        <v>0324</v>
      </c>
      <c r="H578" s="141" t="s">
        <v>4589</v>
      </c>
      <c r="I578" s="141" t="str">
        <f t="shared" ref="I578:I641" si="52">"999"</f>
        <v>999</v>
      </c>
      <c r="J578" s="141" t="s">
        <v>4327</v>
      </c>
      <c r="K578" s="141">
        <v>469</v>
      </c>
      <c r="L578" s="141">
        <v>1</v>
      </c>
      <c r="M578" s="141">
        <v>0</v>
      </c>
      <c r="N578" s="141">
        <v>17000</v>
      </c>
      <c r="O578" s="141" t="s">
        <v>4420</v>
      </c>
      <c r="P578" s="141" t="s">
        <v>4449</v>
      </c>
    </row>
    <row r="579" spans="1:16" ht="25.5">
      <c r="A579" s="141">
        <v>76807</v>
      </c>
      <c r="B579" s="141" t="s">
        <v>4325</v>
      </c>
      <c r="C579" s="142">
        <v>41201</v>
      </c>
      <c r="D579" s="141">
        <v>336</v>
      </c>
      <c r="E579" s="141" t="str">
        <f t="shared" si="50"/>
        <v>001</v>
      </c>
      <c r="F579" s="141" t="s">
        <v>4326</v>
      </c>
      <c r="G579" s="141" t="str">
        <f t="shared" si="51"/>
        <v>0324</v>
      </c>
      <c r="H579" s="141" t="s">
        <v>4589</v>
      </c>
      <c r="I579" s="141" t="str">
        <f t="shared" si="52"/>
        <v>999</v>
      </c>
      <c r="J579" s="141" t="s">
        <v>4327</v>
      </c>
      <c r="K579" s="141">
        <v>470</v>
      </c>
      <c r="L579" s="141">
        <v>1</v>
      </c>
      <c r="M579" s="141">
        <v>0</v>
      </c>
      <c r="N579" s="141">
        <v>13000</v>
      </c>
      <c r="O579" s="141" t="s">
        <v>4337</v>
      </c>
      <c r="P579" s="141" t="s">
        <v>4590</v>
      </c>
    </row>
    <row r="580" spans="1:16" ht="25.5">
      <c r="A580" s="141">
        <v>76807</v>
      </c>
      <c r="B580" s="141" t="s">
        <v>4325</v>
      </c>
      <c r="C580" s="142">
        <v>41201</v>
      </c>
      <c r="D580" s="141">
        <v>336</v>
      </c>
      <c r="E580" s="141" t="str">
        <f t="shared" si="50"/>
        <v>001</v>
      </c>
      <c r="F580" s="141" t="s">
        <v>4326</v>
      </c>
      <c r="G580" s="141" t="str">
        <f t="shared" si="51"/>
        <v>0324</v>
      </c>
      <c r="H580" s="141" t="s">
        <v>4589</v>
      </c>
      <c r="I580" s="141" t="str">
        <f t="shared" si="52"/>
        <v>999</v>
      </c>
      <c r="J580" s="141" t="s">
        <v>4327</v>
      </c>
      <c r="K580" s="141">
        <v>471</v>
      </c>
      <c r="L580" s="141">
        <v>2</v>
      </c>
      <c r="M580" s="141">
        <v>0</v>
      </c>
      <c r="N580" s="141">
        <v>9000</v>
      </c>
      <c r="O580" s="141" t="s">
        <v>4357</v>
      </c>
      <c r="P580" s="141" t="s">
        <v>4362</v>
      </c>
    </row>
    <row r="581" spans="1:16" ht="25.5">
      <c r="A581" s="141">
        <v>76807</v>
      </c>
      <c r="B581" s="141" t="s">
        <v>4325</v>
      </c>
      <c r="C581" s="142">
        <v>41201</v>
      </c>
      <c r="D581" s="141">
        <v>336</v>
      </c>
      <c r="E581" s="141" t="str">
        <f t="shared" si="50"/>
        <v>001</v>
      </c>
      <c r="F581" s="141" t="s">
        <v>4326</v>
      </c>
      <c r="G581" s="141" t="str">
        <f t="shared" si="51"/>
        <v>0324</v>
      </c>
      <c r="H581" s="141" t="s">
        <v>4589</v>
      </c>
      <c r="I581" s="141" t="str">
        <f t="shared" si="52"/>
        <v>999</v>
      </c>
      <c r="J581" s="141" t="s">
        <v>4327</v>
      </c>
      <c r="K581" s="141">
        <v>472</v>
      </c>
      <c r="L581" s="141">
        <v>2</v>
      </c>
      <c r="M581" s="141">
        <v>0</v>
      </c>
      <c r="N581" s="141">
        <v>18000</v>
      </c>
      <c r="O581" s="141" t="s">
        <v>4357</v>
      </c>
      <c r="P581" s="141" t="s">
        <v>4360</v>
      </c>
    </row>
    <row r="582" spans="1:16" ht="25.5">
      <c r="A582" s="141">
        <v>76807</v>
      </c>
      <c r="B582" s="141" t="s">
        <v>4325</v>
      </c>
      <c r="C582" s="142">
        <v>41201</v>
      </c>
      <c r="D582" s="141">
        <v>336</v>
      </c>
      <c r="E582" s="141" t="str">
        <f t="shared" si="50"/>
        <v>001</v>
      </c>
      <c r="F582" s="141" t="s">
        <v>4326</v>
      </c>
      <c r="G582" s="141" t="str">
        <f t="shared" si="51"/>
        <v>0324</v>
      </c>
      <c r="H582" s="141" t="s">
        <v>4589</v>
      </c>
      <c r="I582" s="141" t="str">
        <f t="shared" si="52"/>
        <v>999</v>
      </c>
      <c r="J582" s="141" t="s">
        <v>4327</v>
      </c>
      <c r="K582" s="141">
        <v>473</v>
      </c>
      <c r="L582" s="141">
        <v>3</v>
      </c>
      <c r="M582" s="141">
        <v>0</v>
      </c>
      <c r="N582" s="141">
        <v>35000</v>
      </c>
      <c r="O582" s="141" t="s">
        <v>4357</v>
      </c>
      <c r="P582" s="141" t="s">
        <v>4588</v>
      </c>
    </row>
    <row r="583" spans="1:16" ht="25.5">
      <c r="A583" s="141">
        <v>76807</v>
      </c>
      <c r="B583" s="141" t="s">
        <v>4325</v>
      </c>
      <c r="C583" s="142">
        <v>41201</v>
      </c>
      <c r="D583" s="141">
        <v>336</v>
      </c>
      <c r="E583" s="141" t="str">
        <f t="shared" si="50"/>
        <v>001</v>
      </c>
      <c r="F583" s="141" t="s">
        <v>4326</v>
      </c>
      <c r="G583" s="141" t="str">
        <f t="shared" si="51"/>
        <v>0324</v>
      </c>
      <c r="H583" s="141" t="s">
        <v>4589</v>
      </c>
      <c r="I583" s="141" t="str">
        <f t="shared" si="52"/>
        <v>999</v>
      </c>
      <c r="J583" s="141" t="s">
        <v>4327</v>
      </c>
      <c r="K583" s="141">
        <v>474</v>
      </c>
      <c r="L583" s="141">
        <v>25</v>
      </c>
      <c r="M583" s="141">
        <v>0</v>
      </c>
      <c r="N583" s="141">
        <v>69000</v>
      </c>
      <c r="O583" s="141" t="s">
        <v>4357</v>
      </c>
      <c r="P583" s="141" t="s">
        <v>4340</v>
      </c>
    </row>
    <row r="584" spans="1:16" ht="25.5">
      <c r="A584" s="141">
        <v>76807</v>
      </c>
      <c r="B584" s="141" t="s">
        <v>4325</v>
      </c>
      <c r="C584" s="142">
        <v>41201</v>
      </c>
      <c r="D584" s="141">
        <v>336</v>
      </c>
      <c r="E584" s="141" t="str">
        <f t="shared" si="50"/>
        <v>001</v>
      </c>
      <c r="F584" s="141" t="s">
        <v>4326</v>
      </c>
      <c r="G584" s="141" t="str">
        <f t="shared" si="51"/>
        <v>0324</v>
      </c>
      <c r="H584" s="141" t="s">
        <v>4589</v>
      </c>
      <c r="I584" s="141" t="str">
        <f t="shared" si="52"/>
        <v>999</v>
      </c>
      <c r="J584" s="141" t="s">
        <v>4327</v>
      </c>
      <c r="K584" s="141">
        <v>475</v>
      </c>
      <c r="L584" s="141">
        <v>1</v>
      </c>
      <c r="M584" s="141">
        <v>0</v>
      </c>
      <c r="N584" s="141">
        <v>112000</v>
      </c>
      <c r="O584" s="141" t="s">
        <v>4366</v>
      </c>
      <c r="P584" s="141" t="s">
        <v>4367</v>
      </c>
    </row>
    <row r="585" spans="1:16" ht="25.5">
      <c r="A585" s="141">
        <v>76807</v>
      </c>
      <c r="B585" s="141" t="s">
        <v>4325</v>
      </c>
      <c r="C585" s="142">
        <v>41201</v>
      </c>
      <c r="D585" s="141">
        <v>336</v>
      </c>
      <c r="E585" s="141" t="str">
        <f t="shared" si="50"/>
        <v>001</v>
      </c>
      <c r="F585" s="141" t="s">
        <v>4326</v>
      </c>
      <c r="G585" s="141" t="str">
        <f t="shared" si="51"/>
        <v>0324</v>
      </c>
      <c r="H585" s="141" t="s">
        <v>4589</v>
      </c>
      <c r="I585" s="141" t="str">
        <f t="shared" si="52"/>
        <v>999</v>
      </c>
      <c r="J585" s="141" t="s">
        <v>4327</v>
      </c>
      <c r="K585" s="141">
        <v>476</v>
      </c>
      <c r="L585" s="141">
        <v>1</v>
      </c>
      <c r="M585" s="141">
        <v>0</v>
      </c>
      <c r="N585" s="141">
        <v>13000</v>
      </c>
      <c r="O585" s="141" t="s">
        <v>4337</v>
      </c>
      <c r="P585" s="141" t="s">
        <v>4590</v>
      </c>
    </row>
    <row r="586" spans="1:16" ht="25.5">
      <c r="A586" s="141">
        <v>76807</v>
      </c>
      <c r="B586" s="141" t="s">
        <v>4325</v>
      </c>
      <c r="C586" s="142">
        <v>41201</v>
      </c>
      <c r="D586" s="141">
        <v>336</v>
      </c>
      <c r="E586" s="141" t="str">
        <f t="shared" si="50"/>
        <v>001</v>
      </c>
      <c r="F586" s="141" t="s">
        <v>4326</v>
      </c>
      <c r="G586" s="141" t="str">
        <f t="shared" si="51"/>
        <v>0324</v>
      </c>
      <c r="H586" s="141" t="s">
        <v>4589</v>
      </c>
      <c r="I586" s="141" t="str">
        <f t="shared" si="52"/>
        <v>999</v>
      </c>
      <c r="J586" s="141" t="s">
        <v>4327</v>
      </c>
      <c r="K586" s="141">
        <v>477</v>
      </c>
      <c r="L586" s="141">
        <v>1</v>
      </c>
      <c r="M586" s="141">
        <v>0</v>
      </c>
      <c r="N586" s="141">
        <v>17000</v>
      </c>
      <c r="O586" s="141" t="s">
        <v>4420</v>
      </c>
      <c r="P586" s="141" t="s">
        <v>4449</v>
      </c>
    </row>
    <row r="587" spans="1:16" ht="25.5">
      <c r="A587" s="141">
        <v>76807</v>
      </c>
      <c r="B587" s="141" t="s">
        <v>4325</v>
      </c>
      <c r="C587" s="142">
        <v>41201</v>
      </c>
      <c r="D587" s="141">
        <v>336</v>
      </c>
      <c r="E587" s="141" t="str">
        <f t="shared" si="50"/>
        <v>001</v>
      </c>
      <c r="F587" s="141" t="s">
        <v>4326</v>
      </c>
      <c r="G587" s="141" t="str">
        <f t="shared" si="51"/>
        <v>0324</v>
      </c>
      <c r="H587" s="141" t="s">
        <v>4589</v>
      </c>
      <c r="I587" s="141" t="str">
        <f t="shared" si="52"/>
        <v>999</v>
      </c>
      <c r="J587" s="141" t="s">
        <v>4327</v>
      </c>
      <c r="K587" s="141">
        <v>478</v>
      </c>
      <c r="L587" s="141">
        <v>7</v>
      </c>
      <c r="M587" s="141">
        <v>0</v>
      </c>
      <c r="N587" s="141">
        <v>4000</v>
      </c>
      <c r="O587" s="141" t="s">
        <v>4350</v>
      </c>
      <c r="P587" s="141"/>
    </row>
    <row r="588" spans="1:16" ht="25.5">
      <c r="A588" s="141">
        <v>76807</v>
      </c>
      <c r="B588" s="141" t="s">
        <v>4325</v>
      </c>
      <c r="C588" s="142">
        <v>41201</v>
      </c>
      <c r="D588" s="141">
        <v>336</v>
      </c>
      <c r="E588" s="141" t="str">
        <f t="shared" si="50"/>
        <v>001</v>
      </c>
      <c r="F588" s="141" t="s">
        <v>4326</v>
      </c>
      <c r="G588" s="141" t="str">
        <f t="shared" si="51"/>
        <v>0324</v>
      </c>
      <c r="H588" s="141" t="s">
        <v>4589</v>
      </c>
      <c r="I588" s="141" t="str">
        <f t="shared" si="52"/>
        <v>999</v>
      </c>
      <c r="J588" s="141" t="s">
        <v>4327</v>
      </c>
      <c r="K588" s="141">
        <v>479</v>
      </c>
      <c r="L588" s="141">
        <v>1</v>
      </c>
      <c r="M588" s="141">
        <v>0</v>
      </c>
      <c r="N588" s="141">
        <v>11000</v>
      </c>
      <c r="O588" s="141" t="s">
        <v>4369</v>
      </c>
      <c r="P588" s="141" t="s">
        <v>4591</v>
      </c>
    </row>
    <row r="589" spans="1:16" ht="25.5">
      <c r="A589" s="141">
        <v>76807</v>
      </c>
      <c r="B589" s="141" t="s">
        <v>4325</v>
      </c>
      <c r="C589" s="142">
        <v>41201</v>
      </c>
      <c r="D589" s="141">
        <v>336</v>
      </c>
      <c r="E589" s="141" t="str">
        <f t="shared" si="50"/>
        <v>001</v>
      </c>
      <c r="F589" s="141" t="s">
        <v>4326</v>
      </c>
      <c r="G589" s="141" t="str">
        <f t="shared" si="51"/>
        <v>0324</v>
      </c>
      <c r="H589" s="141" t="s">
        <v>4589</v>
      </c>
      <c r="I589" s="141" t="str">
        <f t="shared" si="52"/>
        <v>999</v>
      </c>
      <c r="J589" s="141" t="s">
        <v>4327</v>
      </c>
      <c r="K589" s="141">
        <v>480</v>
      </c>
      <c r="L589" s="141">
        <v>1</v>
      </c>
      <c r="M589" s="141">
        <v>0</v>
      </c>
      <c r="N589" s="141">
        <v>2000</v>
      </c>
      <c r="O589" s="141" t="s">
        <v>4345</v>
      </c>
      <c r="P589" s="141"/>
    </row>
    <row r="590" spans="1:16" ht="25.5">
      <c r="A590" s="141">
        <v>76807</v>
      </c>
      <c r="B590" s="141" t="s">
        <v>4325</v>
      </c>
      <c r="C590" s="142">
        <v>41201</v>
      </c>
      <c r="D590" s="141">
        <v>336</v>
      </c>
      <c r="E590" s="141" t="str">
        <f t="shared" si="50"/>
        <v>001</v>
      </c>
      <c r="F590" s="141" t="s">
        <v>4326</v>
      </c>
      <c r="G590" s="141" t="str">
        <f t="shared" si="51"/>
        <v>0324</v>
      </c>
      <c r="H590" s="141" t="s">
        <v>4589</v>
      </c>
      <c r="I590" s="141" t="str">
        <f t="shared" si="52"/>
        <v>999</v>
      </c>
      <c r="J590" s="141" t="s">
        <v>4327</v>
      </c>
      <c r="K590" s="141">
        <v>481</v>
      </c>
      <c r="L590" s="141">
        <v>1</v>
      </c>
      <c r="M590" s="141">
        <v>0</v>
      </c>
      <c r="N590" s="141">
        <v>116000</v>
      </c>
      <c r="O590" s="141" t="s">
        <v>4368</v>
      </c>
      <c r="P590" s="141"/>
    </row>
    <row r="591" spans="1:16" ht="25.5">
      <c r="A591" s="141">
        <v>76807</v>
      </c>
      <c r="B591" s="141" t="s">
        <v>4325</v>
      </c>
      <c r="C591" s="142">
        <v>41201</v>
      </c>
      <c r="D591" s="141">
        <v>336</v>
      </c>
      <c r="E591" s="141" t="str">
        <f t="shared" si="50"/>
        <v>001</v>
      </c>
      <c r="F591" s="141" t="s">
        <v>4326</v>
      </c>
      <c r="G591" s="141" t="str">
        <f t="shared" si="51"/>
        <v>0324</v>
      </c>
      <c r="H591" s="141" t="s">
        <v>4589</v>
      </c>
      <c r="I591" s="141" t="str">
        <f t="shared" si="52"/>
        <v>999</v>
      </c>
      <c r="J591" s="141" t="s">
        <v>4327</v>
      </c>
      <c r="K591" s="141">
        <v>482</v>
      </c>
      <c r="L591" s="141">
        <v>3</v>
      </c>
      <c r="M591" s="141">
        <v>0</v>
      </c>
      <c r="N591" s="141">
        <v>7000</v>
      </c>
      <c r="O591" s="141" t="s">
        <v>4347</v>
      </c>
      <c r="P591" s="141"/>
    </row>
    <row r="592" spans="1:16" ht="25.5">
      <c r="A592" s="141">
        <v>76807</v>
      </c>
      <c r="B592" s="141" t="s">
        <v>4325</v>
      </c>
      <c r="C592" s="142">
        <v>41201</v>
      </c>
      <c r="D592" s="141">
        <v>336</v>
      </c>
      <c r="E592" s="141" t="str">
        <f t="shared" si="50"/>
        <v>001</v>
      </c>
      <c r="F592" s="141" t="s">
        <v>4326</v>
      </c>
      <c r="G592" s="141" t="str">
        <f t="shared" si="51"/>
        <v>0324</v>
      </c>
      <c r="H592" s="141" t="s">
        <v>4589</v>
      </c>
      <c r="I592" s="141" t="str">
        <f t="shared" si="52"/>
        <v>999</v>
      </c>
      <c r="J592" s="141" t="s">
        <v>4327</v>
      </c>
      <c r="K592" s="141">
        <v>483</v>
      </c>
      <c r="L592" s="141">
        <v>1</v>
      </c>
      <c r="M592" s="141">
        <v>0</v>
      </c>
      <c r="N592" s="141">
        <v>4000</v>
      </c>
      <c r="O592" s="141" t="s">
        <v>4406</v>
      </c>
      <c r="P592" s="141"/>
    </row>
    <row r="593" spans="1:16" ht="25.5">
      <c r="A593" s="141">
        <v>76807</v>
      </c>
      <c r="B593" s="141" t="s">
        <v>4325</v>
      </c>
      <c r="C593" s="142">
        <v>41201</v>
      </c>
      <c r="D593" s="141">
        <v>336</v>
      </c>
      <c r="E593" s="141" t="str">
        <f t="shared" si="50"/>
        <v>001</v>
      </c>
      <c r="F593" s="141" t="s">
        <v>4326</v>
      </c>
      <c r="G593" s="141" t="str">
        <f t="shared" si="51"/>
        <v>0324</v>
      </c>
      <c r="H593" s="141" t="s">
        <v>4589</v>
      </c>
      <c r="I593" s="141" t="str">
        <f t="shared" si="52"/>
        <v>999</v>
      </c>
      <c r="J593" s="141" t="s">
        <v>4327</v>
      </c>
      <c r="K593" s="141">
        <v>484</v>
      </c>
      <c r="L593" s="141">
        <v>1</v>
      </c>
      <c r="M593" s="141">
        <v>0</v>
      </c>
      <c r="N593" s="141">
        <v>2000</v>
      </c>
      <c r="O593" s="141" t="s">
        <v>4592</v>
      </c>
      <c r="P593" s="141"/>
    </row>
    <row r="594" spans="1:16" ht="25.5">
      <c r="A594" s="141">
        <v>76807</v>
      </c>
      <c r="B594" s="141" t="s">
        <v>4325</v>
      </c>
      <c r="C594" s="142">
        <v>41201</v>
      </c>
      <c r="D594" s="141">
        <v>440</v>
      </c>
      <c r="E594" s="141" t="str">
        <f t="shared" si="50"/>
        <v>001</v>
      </c>
      <c r="F594" s="141" t="s">
        <v>4326</v>
      </c>
      <c r="G594" s="141" t="str">
        <f t="shared" ref="G594:G599" si="53">"0325"</f>
        <v>0325</v>
      </c>
      <c r="H594" s="141" t="s">
        <v>1628</v>
      </c>
      <c r="I594" s="141" t="str">
        <f t="shared" si="52"/>
        <v>999</v>
      </c>
      <c r="J594" s="141" t="s">
        <v>4327</v>
      </c>
      <c r="K594" s="141">
        <v>1294</v>
      </c>
      <c r="L594" s="141">
        <v>1</v>
      </c>
      <c r="M594" s="141">
        <v>0</v>
      </c>
      <c r="N594" s="141">
        <v>9000</v>
      </c>
      <c r="O594" s="141" t="s">
        <v>4337</v>
      </c>
      <c r="P594" s="141" t="s">
        <v>4352</v>
      </c>
    </row>
    <row r="595" spans="1:16" ht="25.5">
      <c r="A595" s="141">
        <v>76807</v>
      </c>
      <c r="B595" s="141" t="s">
        <v>4325</v>
      </c>
      <c r="C595" s="142">
        <v>41201</v>
      </c>
      <c r="D595" s="141">
        <v>440</v>
      </c>
      <c r="E595" s="141" t="str">
        <f t="shared" si="50"/>
        <v>001</v>
      </c>
      <c r="F595" s="141" t="s">
        <v>4326</v>
      </c>
      <c r="G595" s="141" t="str">
        <f t="shared" si="53"/>
        <v>0325</v>
      </c>
      <c r="H595" s="141" t="s">
        <v>1628</v>
      </c>
      <c r="I595" s="141" t="str">
        <f t="shared" si="52"/>
        <v>999</v>
      </c>
      <c r="J595" s="141" t="s">
        <v>4327</v>
      </c>
      <c r="K595" s="141">
        <v>1295</v>
      </c>
      <c r="L595" s="141">
        <v>1</v>
      </c>
      <c r="M595" s="141">
        <v>0</v>
      </c>
      <c r="N595" s="141">
        <v>5000</v>
      </c>
      <c r="O595" s="141" t="s">
        <v>4472</v>
      </c>
      <c r="P595" s="141" t="s">
        <v>4389</v>
      </c>
    </row>
    <row r="596" spans="1:16" ht="25.5">
      <c r="A596" s="141">
        <v>76807</v>
      </c>
      <c r="B596" s="141" t="s">
        <v>4325</v>
      </c>
      <c r="C596" s="142">
        <v>41201</v>
      </c>
      <c r="D596" s="141">
        <v>440</v>
      </c>
      <c r="E596" s="141" t="str">
        <f t="shared" si="50"/>
        <v>001</v>
      </c>
      <c r="F596" s="141" t="s">
        <v>4326</v>
      </c>
      <c r="G596" s="141" t="str">
        <f t="shared" si="53"/>
        <v>0325</v>
      </c>
      <c r="H596" s="141" t="s">
        <v>1628</v>
      </c>
      <c r="I596" s="141" t="str">
        <f t="shared" si="52"/>
        <v>999</v>
      </c>
      <c r="J596" s="141" t="s">
        <v>4327</v>
      </c>
      <c r="K596" s="141">
        <v>1296</v>
      </c>
      <c r="L596" s="141">
        <v>1</v>
      </c>
      <c r="M596" s="141">
        <v>0</v>
      </c>
      <c r="N596" s="141">
        <v>2000</v>
      </c>
      <c r="O596" s="141" t="s">
        <v>4388</v>
      </c>
      <c r="P596" s="141" t="s">
        <v>4355</v>
      </c>
    </row>
    <row r="597" spans="1:16" ht="25.5">
      <c r="A597" s="141">
        <v>76807</v>
      </c>
      <c r="B597" s="141" t="s">
        <v>4325</v>
      </c>
      <c r="C597" s="142">
        <v>41201</v>
      </c>
      <c r="D597" s="141">
        <v>440</v>
      </c>
      <c r="E597" s="141" t="str">
        <f t="shared" si="50"/>
        <v>001</v>
      </c>
      <c r="F597" s="141" t="s">
        <v>4326</v>
      </c>
      <c r="G597" s="141" t="str">
        <f t="shared" si="53"/>
        <v>0325</v>
      </c>
      <c r="H597" s="141" t="s">
        <v>1628</v>
      </c>
      <c r="I597" s="141" t="str">
        <f t="shared" si="52"/>
        <v>999</v>
      </c>
      <c r="J597" s="141" t="s">
        <v>4327</v>
      </c>
      <c r="K597" s="141">
        <v>1297</v>
      </c>
      <c r="L597" s="141">
        <v>1</v>
      </c>
      <c r="M597" s="141">
        <v>0</v>
      </c>
      <c r="N597" s="141">
        <v>6000</v>
      </c>
      <c r="O597" s="141" t="s">
        <v>4407</v>
      </c>
      <c r="P597" s="141"/>
    </row>
    <row r="598" spans="1:16" ht="25.5">
      <c r="A598" s="141">
        <v>76807</v>
      </c>
      <c r="B598" s="141" t="s">
        <v>4325</v>
      </c>
      <c r="C598" s="142">
        <v>41201</v>
      </c>
      <c r="D598" s="141">
        <v>440</v>
      </c>
      <c r="E598" s="141" t="str">
        <f t="shared" si="50"/>
        <v>001</v>
      </c>
      <c r="F598" s="141" t="s">
        <v>4326</v>
      </c>
      <c r="G598" s="141" t="str">
        <f t="shared" si="53"/>
        <v>0325</v>
      </c>
      <c r="H598" s="141" t="s">
        <v>1628</v>
      </c>
      <c r="I598" s="141" t="str">
        <f t="shared" si="52"/>
        <v>999</v>
      </c>
      <c r="J598" s="141" t="s">
        <v>4327</v>
      </c>
      <c r="K598" s="141">
        <v>1298</v>
      </c>
      <c r="L598" s="141">
        <v>4</v>
      </c>
      <c r="M598" s="141">
        <v>0</v>
      </c>
      <c r="N598" s="141">
        <v>2000</v>
      </c>
      <c r="O598" s="141" t="s">
        <v>4350</v>
      </c>
      <c r="P598" s="141"/>
    </row>
    <row r="599" spans="1:16" ht="25.5">
      <c r="A599" s="141">
        <v>76807</v>
      </c>
      <c r="B599" s="141" t="s">
        <v>4325</v>
      </c>
      <c r="C599" s="142">
        <v>41201</v>
      </c>
      <c r="D599" s="141">
        <v>440</v>
      </c>
      <c r="E599" s="141" t="str">
        <f t="shared" si="50"/>
        <v>001</v>
      </c>
      <c r="F599" s="141" t="s">
        <v>4326</v>
      </c>
      <c r="G599" s="141" t="str">
        <f t="shared" si="53"/>
        <v>0325</v>
      </c>
      <c r="H599" s="141" t="s">
        <v>1628</v>
      </c>
      <c r="I599" s="141" t="str">
        <f t="shared" si="52"/>
        <v>999</v>
      </c>
      <c r="J599" s="141" t="s">
        <v>4327</v>
      </c>
      <c r="K599" s="141">
        <v>1299</v>
      </c>
      <c r="L599" s="141">
        <v>4</v>
      </c>
      <c r="M599" s="141">
        <v>0</v>
      </c>
      <c r="N599" s="141">
        <v>39000</v>
      </c>
      <c r="O599" s="141" t="s">
        <v>4357</v>
      </c>
      <c r="P599" s="141" t="s">
        <v>4494</v>
      </c>
    </row>
    <row r="600" spans="1:16" ht="25.5">
      <c r="A600" s="141">
        <v>76807</v>
      </c>
      <c r="B600" s="141" t="s">
        <v>4325</v>
      </c>
      <c r="C600" s="142">
        <v>41201</v>
      </c>
      <c r="D600" s="141">
        <v>421</v>
      </c>
      <c r="E600" s="141" t="str">
        <f t="shared" si="50"/>
        <v>001</v>
      </c>
      <c r="F600" s="141" t="s">
        <v>4326</v>
      </c>
      <c r="G600" s="141" t="str">
        <f t="shared" ref="G600:G612" si="54">"0326"</f>
        <v>0326</v>
      </c>
      <c r="H600" s="141" t="s">
        <v>1629</v>
      </c>
      <c r="I600" s="141" t="str">
        <f t="shared" si="52"/>
        <v>999</v>
      </c>
      <c r="J600" s="141" t="s">
        <v>4327</v>
      </c>
      <c r="K600" s="141">
        <v>1183</v>
      </c>
      <c r="L600" s="141">
        <v>1</v>
      </c>
      <c r="M600" s="141">
        <v>0</v>
      </c>
      <c r="N600" s="141">
        <v>26000</v>
      </c>
      <c r="O600" s="141" t="s">
        <v>4337</v>
      </c>
      <c r="P600" s="141" t="s">
        <v>4514</v>
      </c>
    </row>
    <row r="601" spans="1:16" ht="25.5">
      <c r="A601" s="141">
        <v>76807</v>
      </c>
      <c r="B601" s="141" t="s">
        <v>4325</v>
      </c>
      <c r="C601" s="142">
        <v>41201</v>
      </c>
      <c r="D601" s="141">
        <v>421</v>
      </c>
      <c r="E601" s="141" t="str">
        <f t="shared" si="50"/>
        <v>001</v>
      </c>
      <c r="F601" s="141" t="s">
        <v>4326</v>
      </c>
      <c r="G601" s="141" t="str">
        <f t="shared" si="54"/>
        <v>0326</v>
      </c>
      <c r="H601" s="141" t="s">
        <v>1629</v>
      </c>
      <c r="I601" s="141" t="str">
        <f t="shared" si="52"/>
        <v>999</v>
      </c>
      <c r="J601" s="141" t="s">
        <v>4327</v>
      </c>
      <c r="K601" s="141">
        <v>1184</v>
      </c>
      <c r="L601" s="141">
        <v>1</v>
      </c>
      <c r="M601" s="141">
        <v>0</v>
      </c>
      <c r="N601" s="141">
        <v>12000</v>
      </c>
      <c r="O601" s="141" t="s">
        <v>4351</v>
      </c>
      <c r="P601" s="141" t="s">
        <v>4593</v>
      </c>
    </row>
    <row r="602" spans="1:16" ht="25.5">
      <c r="A602" s="141">
        <v>76807</v>
      </c>
      <c r="B602" s="141" t="s">
        <v>4325</v>
      </c>
      <c r="C602" s="142">
        <v>41201</v>
      </c>
      <c r="D602" s="141">
        <v>421</v>
      </c>
      <c r="E602" s="141" t="str">
        <f t="shared" si="50"/>
        <v>001</v>
      </c>
      <c r="F602" s="141" t="s">
        <v>4326</v>
      </c>
      <c r="G602" s="141" t="str">
        <f t="shared" si="54"/>
        <v>0326</v>
      </c>
      <c r="H602" s="141" t="s">
        <v>1629</v>
      </c>
      <c r="I602" s="141" t="str">
        <f t="shared" si="52"/>
        <v>999</v>
      </c>
      <c r="J602" s="141" t="s">
        <v>4327</v>
      </c>
      <c r="K602" s="141">
        <v>1185</v>
      </c>
      <c r="L602" s="141">
        <v>1</v>
      </c>
      <c r="M602" s="141">
        <v>0</v>
      </c>
      <c r="N602" s="141">
        <v>6000</v>
      </c>
      <c r="O602" s="141" t="s">
        <v>4407</v>
      </c>
      <c r="P602" s="141"/>
    </row>
    <row r="603" spans="1:16" ht="25.5">
      <c r="A603" s="141">
        <v>76807</v>
      </c>
      <c r="B603" s="141" t="s">
        <v>4325</v>
      </c>
      <c r="C603" s="142">
        <v>41201</v>
      </c>
      <c r="D603" s="141">
        <v>421</v>
      </c>
      <c r="E603" s="141" t="str">
        <f t="shared" si="50"/>
        <v>001</v>
      </c>
      <c r="F603" s="141" t="s">
        <v>4326</v>
      </c>
      <c r="G603" s="141" t="str">
        <f t="shared" si="54"/>
        <v>0326</v>
      </c>
      <c r="H603" s="141" t="s">
        <v>1629</v>
      </c>
      <c r="I603" s="141" t="str">
        <f t="shared" si="52"/>
        <v>999</v>
      </c>
      <c r="J603" s="141" t="s">
        <v>4327</v>
      </c>
      <c r="K603" s="141">
        <v>1186</v>
      </c>
      <c r="L603" s="141">
        <v>10</v>
      </c>
      <c r="M603" s="141">
        <v>0</v>
      </c>
      <c r="N603" s="141">
        <v>49000</v>
      </c>
      <c r="O603" s="141" t="s">
        <v>4357</v>
      </c>
      <c r="P603" s="141" t="s">
        <v>4335</v>
      </c>
    </row>
    <row r="604" spans="1:16" ht="25.5">
      <c r="A604" s="141">
        <v>76807</v>
      </c>
      <c r="B604" s="141" t="s">
        <v>4325</v>
      </c>
      <c r="C604" s="142">
        <v>41201</v>
      </c>
      <c r="D604" s="141">
        <v>421</v>
      </c>
      <c r="E604" s="141" t="str">
        <f t="shared" si="50"/>
        <v>001</v>
      </c>
      <c r="F604" s="141" t="s">
        <v>4326</v>
      </c>
      <c r="G604" s="141" t="str">
        <f t="shared" si="54"/>
        <v>0326</v>
      </c>
      <c r="H604" s="141" t="s">
        <v>1629</v>
      </c>
      <c r="I604" s="141" t="str">
        <f t="shared" si="52"/>
        <v>999</v>
      </c>
      <c r="J604" s="141" t="s">
        <v>4327</v>
      </c>
      <c r="K604" s="141">
        <v>1187</v>
      </c>
      <c r="L604" s="141">
        <v>1</v>
      </c>
      <c r="M604" s="141">
        <v>0</v>
      </c>
      <c r="N604" s="141">
        <v>1000</v>
      </c>
      <c r="O604" s="141" t="s">
        <v>4328</v>
      </c>
      <c r="P604" s="141" t="s">
        <v>4594</v>
      </c>
    </row>
    <row r="605" spans="1:16" ht="25.5">
      <c r="A605" s="141">
        <v>76807</v>
      </c>
      <c r="B605" s="141" t="s">
        <v>4325</v>
      </c>
      <c r="C605" s="142">
        <v>41201</v>
      </c>
      <c r="D605" s="141">
        <v>421</v>
      </c>
      <c r="E605" s="141" t="str">
        <f t="shared" si="50"/>
        <v>001</v>
      </c>
      <c r="F605" s="141" t="s">
        <v>4326</v>
      </c>
      <c r="G605" s="141" t="str">
        <f t="shared" si="54"/>
        <v>0326</v>
      </c>
      <c r="H605" s="141" t="s">
        <v>1629</v>
      </c>
      <c r="I605" s="141" t="str">
        <f t="shared" si="52"/>
        <v>999</v>
      </c>
      <c r="J605" s="141" t="s">
        <v>4327</v>
      </c>
      <c r="K605" s="141">
        <v>1188</v>
      </c>
      <c r="L605" s="141">
        <v>1</v>
      </c>
      <c r="M605" s="141">
        <v>0</v>
      </c>
      <c r="N605" s="141">
        <v>5000</v>
      </c>
      <c r="O605" s="141" t="s">
        <v>4468</v>
      </c>
      <c r="P605" s="141" t="s">
        <v>4389</v>
      </c>
    </row>
    <row r="606" spans="1:16" ht="25.5">
      <c r="A606" s="141">
        <v>76807</v>
      </c>
      <c r="B606" s="141" t="s">
        <v>4325</v>
      </c>
      <c r="C606" s="142">
        <v>41201</v>
      </c>
      <c r="D606" s="141">
        <v>421</v>
      </c>
      <c r="E606" s="141" t="str">
        <f t="shared" si="50"/>
        <v>001</v>
      </c>
      <c r="F606" s="141" t="s">
        <v>4326</v>
      </c>
      <c r="G606" s="141" t="str">
        <f t="shared" si="54"/>
        <v>0326</v>
      </c>
      <c r="H606" s="141" t="s">
        <v>1629</v>
      </c>
      <c r="I606" s="141" t="str">
        <f t="shared" si="52"/>
        <v>999</v>
      </c>
      <c r="J606" s="141" t="s">
        <v>4327</v>
      </c>
      <c r="K606" s="141">
        <v>1189</v>
      </c>
      <c r="L606" s="141">
        <v>6</v>
      </c>
      <c r="M606" s="141">
        <v>0</v>
      </c>
      <c r="N606" s="141">
        <v>13000</v>
      </c>
      <c r="O606" s="141" t="s">
        <v>4408</v>
      </c>
      <c r="P606" s="141"/>
    </row>
    <row r="607" spans="1:16" ht="25.5">
      <c r="A607" s="141">
        <v>76807</v>
      </c>
      <c r="B607" s="141" t="s">
        <v>4325</v>
      </c>
      <c r="C607" s="142">
        <v>41201</v>
      </c>
      <c r="D607" s="141">
        <v>421</v>
      </c>
      <c r="E607" s="141" t="str">
        <f t="shared" si="50"/>
        <v>001</v>
      </c>
      <c r="F607" s="141" t="s">
        <v>4326</v>
      </c>
      <c r="G607" s="141" t="str">
        <f t="shared" si="54"/>
        <v>0326</v>
      </c>
      <c r="H607" s="141" t="s">
        <v>1629</v>
      </c>
      <c r="I607" s="141" t="str">
        <f t="shared" si="52"/>
        <v>999</v>
      </c>
      <c r="J607" s="141" t="s">
        <v>4327</v>
      </c>
      <c r="K607" s="141">
        <v>1190</v>
      </c>
      <c r="L607" s="141">
        <v>2</v>
      </c>
      <c r="M607" s="141">
        <v>0</v>
      </c>
      <c r="N607" s="141">
        <v>3000</v>
      </c>
      <c r="O607" s="141" t="s">
        <v>4515</v>
      </c>
      <c r="P607" s="141"/>
    </row>
    <row r="608" spans="1:16" ht="25.5">
      <c r="A608" s="141">
        <v>76807</v>
      </c>
      <c r="B608" s="141" t="s">
        <v>4325</v>
      </c>
      <c r="C608" s="142">
        <v>41201</v>
      </c>
      <c r="D608" s="141">
        <v>421</v>
      </c>
      <c r="E608" s="141" t="str">
        <f t="shared" si="50"/>
        <v>001</v>
      </c>
      <c r="F608" s="141" t="s">
        <v>4326</v>
      </c>
      <c r="G608" s="141" t="str">
        <f t="shared" si="54"/>
        <v>0326</v>
      </c>
      <c r="H608" s="141" t="s">
        <v>1629</v>
      </c>
      <c r="I608" s="141" t="str">
        <f t="shared" si="52"/>
        <v>999</v>
      </c>
      <c r="J608" s="141" t="s">
        <v>4327</v>
      </c>
      <c r="K608" s="141">
        <v>1191</v>
      </c>
      <c r="L608" s="141">
        <v>1</v>
      </c>
      <c r="M608" s="141">
        <v>0</v>
      </c>
      <c r="N608" s="141">
        <v>89000</v>
      </c>
      <c r="O608" s="141" t="s">
        <v>4505</v>
      </c>
      <c r="P608" s="141" t="s">
        <v>4367</v>
      </c>
    </row>
    <row r="609" spans="1:16" ht="25.5">
      <c r="A609" s="141">
        <v>76807</v>
      </c>
      <c r="B609" s="141" t="s">
        <v>4325</v>
      </c>
      <c r="C609" s="142">
        <v>41201</v>
      </c>
      <c r="D609" s="141">
        <v>421</v>
      </c>
      <c r="E609" s="141" t="str">
        <f t="shared" si="50"/>
        <v>001</v>
      </c>
      <c r="F609" s="141" t="s">
        <v>4326</v>
      </c>
      <c r="G609" s="141" t="str">
        <f t="shared" si="54"/>
        <v>0326</v>
      </c>
      <c r="H609" s="141" t="s">
        <v>1629</v>
      </c>
      <c r="I609" s="141" t="str">
        <f t="shared" si="52"/>
        <v>999</v>
      </c>
      <c r="J609" s="141" t="s">
        <v>4327</v>
      </c>
      <c r="K609" s="141">
        <v>1192</v>
      </c>
      <c r="L609" s="141">
        <v>6</v>
      </c>
      <c r="M609" s="141">
        <v>0</v>
      </c>
      <c r="N609" s="141">
        <v>70000</v>
      </c>
      <c r="O609" s="141" t="s">
        <v>4357</v>
      </c>
      <c r="P609" s="141" t="s">
        <v>4417</v>
      </c>
    </row>
    <row r="610" spans="1:16" ht="25.5">
      <c r="A610" s="141">
        <v>76807</v>
      </c>
      <c r="B610" s="141" t="s">
        <v>4325</v>
      </c>
      <c r="C610" s="142">
        <v>41201</v>
      </c>
      <c r="D610" s="141">
        <v>421</v>
      </c>
      <c r="E610" s="141" t="str">
        <f t="shared" si="50"/>
        <v>001</v>
      </c>
      <c r="F610" s="141" t="s">
        <v>4326</v>
      </c>
      <c r="G610" s="141" t="str">
        <f t="shared" si="54"/>
        <v>0326</v>
      </c>
      <c r="H610" s="141" t="s">
        <v>1629</v>
      </c>
      <c r="I610" s="141" t="str">
        <f t="shared" si="52"/>
        <v>999</v>
      </c>
      <c r="J610" s="141" t="s">
        <v>4327</v>
      </c>
      <c r="K610" s="141">
        <v>1193</v>
      </c>
      <c r="L610" s="141">
        <v>4</v>
      </c>
      <c r="M610" s="141">
        <v>0</v>
      </c>
      <c r="N610" s="141">
        <v>68000</v>
      </c>
      <c r="O610" s="141" t="s">
        <v>4357</v>
      </c>
      <c r="P610" s="141" t="s">
        <v>4595</v>
      </c>
    </row>
    <row r="611" spans="1:16" ht="25.5">
      <c r="A611" s="141">
        <v>76807</v>
      </c>
      <c r="B611" s="141" t="s">
        <v>4325</v>
      </c>
      <c r="C611" s="142">
        <v>41201</v>
      </c>
      <c r="D611" s="141">
        <v>421</v>
      </c>
      <c r="E611" s="141" t="str">
        <f t="shared" si="50"/>
        <v>001</v>
      </c>
      <c r="F611" s="141" t="s">
        <v>4326</v>
      </c>
      <c r="G611" s="141" t="str">
        <f t="shared" si="54"/>
        <v>0326</v>
      </c>
      <c r="H611" s="141" t="s">
        <v>1629</v>
      </c>
      <c r="I611" s="141" t="str">
        <f t="shared" si="52"/>
        <v>999</v>
      </c>
      <c r="J611" s="141" t="s">
        <v>4327</v>
      </c>
      <c r="K611" s="141">
        <v>1194</v>
      </c>
      <c r="L611" s="141">
        <v>2</v>
      </c>
      <c r="M611" s="141">
        <v>0</v>
      </c>
      <c r="N611" s="141">
        <v>10000</v>
      </c>
      <c r="O611" s="141" t="s">
        <v>4357</v>
      </c>
      <c r="P611" s="141" t="s">
        <v>4335</v>
      </c>
    </row>
    <row r="612" spans="1:16" ht="25.5">
      <c r="A612" s="141">
        <v>76807</v>
      </c>
      <c r="B612" s="141" t="s">
        <v>4325</v>
      </c>
      <c r="C612" s="142">
        <v>41201</v>
      </c>
      <c r="D612" s="141">
        <v>421</v>
      </c>
      <c r="E612" s="141" t="str">
        <f t="shared" si="50"/>
        <v>001</v>
      </c>
      <c r="F612" s="141" t="s">
        <v>4326</v>
      </c>
      <c r="G612" s="141" t="str">
        <f t="shared" si="54"/>
        <v>0326</v>
      </c>
      <c r="H612" s="141" t="s">
        <v>1629</v>
      </c>
      <c r="I612" s="141" t="str">
        <f t="shared" si="52"/>
        <v>999</v>
      </c>
      <c r="J612" s="141" t="s">
        <v>4327</v>
      </c>
      <c r="K612" s="141">
        <v>1195</v>
      </c>
      <c r="L612" s="141">
        <v>2</v>
      </c>
      <c r="M612" s="141">
        <v>0</v>
      </c>
      <c r="N612" s="141">
        <v>1000</v>
      </c>
      <c r="O612" s="141" t="s">
        <v>4381</v>
      </c>
      <c r="P612" s="141"/>
    </row>
    <row r="613" spans="1:16" ht="25.5">
      <c r="A613" s="141">
        <v>76807</v>
      </c>
      <c r="B613" s="141" t="s">
        <v>4325</v>
      </c>
      <c r="C613" s="142">
        <v>41201</v>
      </c>
      <c r="D613" s="141">
        <v>418</v>
      </c>
      <c r="E613" s="141" t="str">
        <f t="shared" si="50"/>
        <v>001</v>
      </c>
      <c r="F613" s="141" t="s">
        <v>4326</v>
      </c>
      <c r="G613" s="141" t="str">
        <f t="shared" ref="G613:G620" si="55">"0327"</f>
        <v>0327</v>
      </c>
      <c r="H613" s="141" t="s">
        <v>1630</v>
      </c>
      <c r="I613" s="141" t="str">
        <f t="shared" si="52"/>
        <v>999</v>
      </c>
      <c r="J613" s="141" t="s">
        <v>4327</v>
      </c>
      <c r="K613" s="141">
        <v>1158</v>
      </c>
      <c r="L613" s="141">
        <v>4</v>
      </c>
      <c r="M613" s="141">
        <v>0</v>
      </c>
      <c r="N613" s="141">
        <v>3000</v>
      </c>
      <c r="O613" s="141" t="s">
        <v>4343</v>
      </c>
      <c r="P613" s="141"/>
    </row>
    <row r="614" spans="1:16" ht="25.5">
      <c r="A614" s="141">
        <v>76807</v>
      </c>
      <c r="B614" s="141" t="s">
        <v>4325</v>
      </c>
      <c r="C614" s="142">
        <v>41201</v>
      </c>
      <c r="D614" s="141">
        <v>418</v>
      </c>
      <c r="E614" s="141" t="str">
        <f t="shared" si="50"/>
        <v>001</v>
      </c>
      <c r="F614" s="141" t="s">
        <v>4326</v>
      </c>
      <c r="G614" s="141" t="str">
        <f t="shared" si="55"/>
        <v>0327</v>
      </c>
      <c r="H614" s="141" t="s">
        <v>1630</v>
      </c>
      <c r="I614" s="141" t="str">
        <f t="shared" si="52"/>
        <v>999</v>
      </c>
      <c r="J614" s="141" t="s">
        <v>4327</v>
      </c>
      <c r="K614" s="141">
        <v>1159</v>
      </c>
      <c r="L614" s="141">
        <v>5</v>
      </c>
      <c r="M614" s="141">
        <v>0</v>
      </c>
      <c r="N614" s="141">
        <v>3000</v>
      </c>
      <c r="O614" s="141" t="s">
        <v>4350</v>
      </c>
      <c r="P614" s="141"/>
    </row>
    <row r="615" spans="1:16" ht="25.5">
      <c r="A615" s="141">
        <v>76807</v>
      </c>
      <c r="B615" s="141" t="s">
        <v>4325</v>
      </c>
      <c r="C615" s="142">
        <v>41201</v>
      </c>
      <c r="D615" s="141">
        <v>418</v>
      </c>
      <c r="E615" s="141" t="str">
        <f t="shared" si="50"/>
        <v>001</v>
      </c>
      <c r="F615" s="141" t="s">
        <v>4326</v>
      </c>
      <c r="G615" s="141" t="str">
        <f t="shared" si="55"/>
        <v>0327</v>
      </c>
      <c r="H615" s="141" t="s">
        <v>1630</v>
      </c>
      <c r="I615" s="141" t="str">
        <f t="shared" si="52"/>
        <v>999</v>
      </c>
      <c r="J615" s="141" t="s">
        <v>4327</v>
      </c>
      <c r="K615" s="141">
        <v>1160</v>
      </c>
      <c r="L615" s="141">
        <v>6</v>
      </c>
      <c r="M615" s="141">
        <v>0</v>
      </c>
      <c r="N615" s="141">
        <v>13000</v>
      </c>
      <c r="O615" s="141" t="s">
        <v>4408</v>
      </c>
      <c r="P615" s="141"/>
    </row>
    <row r="616" spans="1:16" ht="25.5">
      <c r="A616" s="141">
        <v>76807</v>
      </c>
      <c r="B616" s="141" t="s">
        <v>4325</v>
      </c>
      <c r="C616" s="142">
        <v>41201</v>
      </c>
      <c r="D616" s="141">
        <v>418</v>
      </c>
      <c r="E616" s="141" t="str">
        <f t="shared" si="50"/>
        <v>001</v>
      </c>
      <c r="F616" s="141" t="s">
        <v>4326</v>
      </c>
      <c r="G616" s="141" t="str">
        <f t="shared" si="55"/>
        <v>0327</v>
      </c>
      <c r="H616" s="141" t="s">
        <v>1630</v>
      </c>
      <c r="I616" s="141" t="str">
        <f t="shared" si="52"/>
        <v>999</v>
      </c>
      <c r="J616" s="141" t="s">
        <v>4327</v>
      </c>
      <c r="K616" s="141">
        <v>1161</v>
      </c>
      <c r="L616" s="141">
        <v>1</v>
      </c>
      <c r="M616" s="141">
        <v>0</v>
      </c>
      <c r="N616" s="141">
        <v>1000</v>
      </c>
      <c r="O616" s="141" t="s">
        <v>4381</v>
      </c>
      <c r="P616" s="141"/>
    </row>
    <row r="617" spans="1:16" ht="25.5">
      <c r="A617" s="141">
        <v>76807</v>
      </c>
      <c r="B617" s="141" t="s">
        <v>4325</v>
      </c>
      <c r="C617" s="142">
        <v>41201</v>
      </c>
      <c r="D617" s="141">
        <v>418</v>
      </c>
      <c r="E617" s="141" t="str">
        <f t="shared" si="50"/>
        <v>001</v>
      </c>
      <c r="F617" s="141" t="s">
        <v>4326</v>
      </c>
      <c r="G617" s="141" t="str">
        <f t="shared" si="55"/>
        <v>0327</v>
      </c>
      <c r="H617" s="141" t="s">
        <v>1630</v>
      </c>
      <c r="I617" s="141" t="str">
        <f t="shared" si="52"/>
        <v>999</v>
      </c>
      <c r="J617" s="141" t="s">
        <v>4327</v>
      </c>
      <c r="K617" s="141">
        <v>1162</v>
      </c>
      <c r="L617" s="141">
        <v>1</v>
      </c>
      <c r="M617" s="141">
        <v>0</v>
      </c>
      <c r="N617" s="141">
        <v>7000</v>
      </c>
      <c r="O617" s="141" t="s">
        <v>4337</v>
      </c>
      <c r="P617" s="141" t="s">
        <v>4596</v>
      </c>
    </row>
    <row r="618" spans="1:16" ht="25.5">
      <c r="A618" s="141">
        <v>76807</v>
      </c>
      <c r="B618" s="141" t="s">
        <v>4325</v>
      </c>
      <c r="C618" s="142">
        <v>41201</v>
      </c>
      <c r="D618" s="141">
        <v>418</v>
      </c>
      <c r="E618" s="141" t="str">
        <f t="shared" si="50"/>
        <v>001</v>
      </c>
      <c r="F618" s="141" t="s">
        <v>4326</v>
      </c>
      <c r="G618" s="141" t="str">
        <f t="shared" si="55"/>
        <v>0327</v>
      </c>
      <c r="H618" s="141" t="s">
        <v>1630</v>
      </c>
      <c r="I618" s="141" t="str">
        <f t="shared" si="52"/>
        <v>999</v>
      </c>
      <c r="J618" s="141" t="s">
        <v>4327</v>
      </c>
      <c r="K618" s="141">
        <v>1163</v>
      </c>
      <c r="L618" s="141">
        <v>1</v>
      </c>
      <c r="M618" s="141">
        <v>0</v>
      </c>
      <c r="N618" s="141">
        <v>6000</v>
      </c>
      <c r="O618" s="141" t="s">
        <v>4407</v>
      </c>
      <c r="P618" s="141"/>
    </row>
    <row r="619" spans="1:16" ht="25.5">
      <c r="A619" s="141">
        <v>76807</v>
      </c>
      <c r="B619" s="141" t="s">
        <v>4325</v>
      </c>
      <c r="C619" s="142">
        <v>41201</v>
      </c>
      <c r="D619" s="141">
        <v>418</v>
      </c>
      <c r="E619" s="141" t="str">
        <f t="shared" si="50"/>
        <v>001</v>
      </c>
      <c r="F619" s="141" t="s">
        <v>4326</v>
      </c>
      <c r="G619" s="141" t="str">
        <f t="shared" si="55"/>
        <v>0327</v>
      </c>
      <c r="H619" s="141" t="s">
        <v>1630</v>
      </c>
      <c r="I619" s="141" t="str">
        <f t="shared" si="52"/>
        <v>999</v>
      </c>
      <c r="J619" s="141" t="s">
        <v>4327</v>
      </c>
      <c r="K619" s="141">
        <v>1164</v>
      </c>
      <c r="L619" s="141">
        <v>4</v>
      </c>
      <c r="M619" s="141">
        <v>0</v>
      </c>
      <c r="N619" s="141">
        <v>10000</v>
      </c>
      <c r="O619" s="141" t="s">
        <v>4334</v>
      </c>
      <c r="P619" s="141" t="s">
        <v>4385</v>
      </c>
    </row>
    <row r="620" spans="1:16" ht="25.5">
      <c r="A620" s="141">
        <v>76807</v>
      </c>
      <c r="B620" s="141" t="s">
        <v>4325</v>
      </c>
      <c r="C620" s="142">
        <v>41201</v>
      </c>
      <c r="D620" s="141">
        <v>418</v>
      </c>
      <c r="E620" s="141" t="str">
        <f t="shared" si="50"/>
        <v>001</v>
      </c>
      <c r="F620" s="141" t="s">
        <v>4326</v>
      </c>
      <c r="G620" s="141" t="str">
        <f t="shared" si="55"/>
        <v>0327</v>
      </c>
      <c r="H620" s="141" t="s">
        <v>1630</v>
      </c>
      <c r="I620" s="141" t="str">
        <f t="shared" si="52"/>
        <v>999</v>
      </c>
      <c r="J620" s="141" t="s">
        <v>4327</v>
      </c>
      <c r="K620" s="141">
        <v>1165</v>
      </c>
      <c r="L620" s="141">
        <v>2</v>
      </c>
      <c r="M620" s="141">
        <v>0</v>
      </c>
      <c r="N620" s="141">
        <v>8000</v>
      </c>
      <c r="O620" s="141" t="s">
        <v>4357</v>
      </c>
      <c r="P620" s="141" t="s">
        <v>4335</v>
      </c>
    </row>
    <row r="621" spans="1:16" ht="25.5">
      <c r="A621" s="141">
        <v>76807</v>
      </c>
      <c r="B621" s="141" t="s">
        <v>4325</v>
      </c>
      <c r="C621" s="142">
        <v>41201</v>
      </c>
      <c r="D621" s="141">
        <v>459</v>
      </c>
      <c r="E621" s="141" t="str">
        <f t="shared" si="50"/>
        <v>001</v>
      </c>
      <c r="F621" s="141" t="s">
        <v>4326</v>
      </c>
      <c r="G621" s="141" t="str">
        <f>"0329"</f>
        <v>0329</v>
      </c>
      <c r="H621" s="141" t="s">
        <v>2782</v>
      </c>
      <c r="I621" s="141" t="str">
        <f t="shared" si="52"/>
        <v>999</v>
      </c>
      <c r="J621" s="141" t="s">
        <v>4327</v>
      </c>
      <c r="K621" s="141">
        <v>961</v>
      </c>
      <c r="L621" s="141">
        <v>1</v>
      </c>
      <c r="M621" s="141">
        <v>0</v>
      </c>
      <c r="N621" s="141">
        <v>4000</v>
      </c>
      <c r="O621" s="141" t="s">
        <v>4406</v>
      </c>
      <c r="P621" s="141"/>
    </row>
    <row r="622" spans="1:16" ht="25.5">
      <c r="A622" s="141">
        <v>76807</v>
      </c>
      <c r="B622" s="141" t="s">
        <v>4325</v>
      </c>
      <c r="C622" s="142">
        <v>41201</v>
      </c>
      <c r="D622" s="141">
        <v>459</v>
      </c>
      <c r="E622" s="141" t="str">
        <f t="shared" si="50"/>
        <v>001</v>
      </c>
      <c r="F622" s="141" t="s">
        <v>4326</v>
      </c>
      <c r="G622" s="141" t="str">
        <f>"0329"</f>
        <v>0329</v>
      </c>
      <c r="H622" s="141" t="s">
        <v>2782</v>
      </c>
      <c r="I622" s="141" t="str">
        <f t="shared" si="52"/>
        <v>999</v>
      </c>
      <c r="J622" s="141" t="s">
        <v>4327</v>
      </c>
      <c r="K622" s="141">
        <v>962</v>
      </c>
      <c r="L622" s="141">
        <v>1</v>
      </c>
      <c r="M622" s="141">
        <v>0</v>
      </c>
      <c r="N622" s="141">
        <v>19000</v>
      </c>
      <c r="O622" s="141" t="s">
        <v>4337</v>
      </c>
      <c r="P622" s="141" t="s">
        <v>4479</v>
      </c>
    </row>
    <row r="623" spans="1:16" ht="25.5">
      <c r="A623" s="141">
        <v>76807</v>
      </c>
      <c r="B623" s="141" t="s">
        <v>4325</v>
      </c>
      <c r="C623" s="142">
        <v>41201</v>
      </c>
      <c r="D623" s="141">
        <v>459</v>
      </c>
      <c r="E623" s="141" t="str">
        <f t="shared" si="50"/>
        <v>001</v>
      </c>
      <c r="F623" s="141" t="s">
        <v>4326</v>
      </c>
      <c r="G623" s="141" t="str">
        <f>"0329"</f>
        <v>0329</v>
      </c>
      <c r="H623" s="141" t="s">
        <v>2782</v>
      </c>
      <c r="I623" s="141" t="str">
        <f t="shared" si="52"/>
        <v>999</v>
      </c>
      <c r="J623" s="141" t="s">
        <v>4327</v>
      </c>
      <c r="K623" s="141">
        <v>963</v>
      </c>
      <c r="L623" s="141">
        <v>8</v>
      </c>
      <c r="M623" s="141">
        <v>0</v>
      </c>
      <c r="N623" s="141">
        <v>17000</v>
      </c>
      <c r="O623" s="141" t="s">
        <v>4408</v>
      </c>
      <c r="P623" s="141"/>
    </row>
    <row r="624" spans="1:16" ht="25.5">
      <c r="A624" s="141">
        <v>76807</v>
      </c>
      <c r="B624" s="141" t="s">
        <v>4325</v>
      </c>
      <c r="C624" s="142">
        <v>41201</v>
      </c>
      <c r="D624" s="141">
        <v>459</v>
      </c>
      <c r="E624" s="141" t="str">
        <f t="shared" si="50"/>
        <v>001</v>
      </c>
      <c r="F624" s="141" t="s">
        <v>4326</v>
      </c>
      <c r="G624" s="141" t="str">
        <f>"0329"</f>
        <v>0329</v>
      </c>
      <c r="H624" s="141" t="s">
        <v>2782</v>
      </c>
      <c r="I624" s="141" t="str">
        <f t="shared" si="52"/>
        <v>999</v>
      </c>
      <c r="J624" s="141" t="s">
        <v>4327</v>
      </c>
      <c r="K624" s="141">
        <v>964</v>
      </c>
      <c r="L624" s="141">
        <v>8</v>
      </c>
      <c r="M624" s="141">
        <v>0</v>
      </c>
      <c r="N624" s="141">
        <v>48000</v>
      </c>
      <c r="O624" s="141" t="s">
        <v>4334</v>
      </c>
      <c r="P624" s="141" t="s">
        <v>4597</v>
      </c>
    </row>
    <row r="625" spans="1:16" ht="25.5">
      <c r="A625" s="141">
        <v>76807</v>
      </c>
      <c r="B625" s="141" t="s">
        <v>4325</v>
      </c>
      <c r="C625" s="142">
        <v>41201</v>
      </c>
      <c r="D625" s="141">
        <v>334</v>
      </c>
      <c r="E625" s="141" t="str">
        <f t="shared" si="50"/>
        <v>001</v>
      </c>
      <c r="F625" s="141" t="s">
        <v>4326</v>
      </c>
      <c r="G625" s="141" t="str">
        <f t="shared" ref="G625:G639" si="56">"0330"</f>
        <v>0330</v>
      </c>
      <c r="H625" s="141" t="s">
        <v>4598</v>
      </c>
      <c r="I625" s="141" t="str">
        <f t="shared" si="52"/>
        <v>999</v>
      </c>
      <c r="J625" s="141" t="s">
        <v>4327</v>
      </c>
      <c r="K625" s="141">
        <v>445</v>
      </c>
      <c r="L625" s="141">
        <v>1</v>
      </c>
      <c r="M625" s="141">
        <v>0</v>
      </c>
      <c r="N625" s="141">
        <v>2000</v>
      </c>
      <c r="O625" s="141" t="s">
        <v>4328</v>
      </c>
      <c r="P625" s="141" t="s">
        <v>4599</v>
      </c>
    </row>
    <row r="626" spans="1:16" ht="25.5">
      <c r="A626" s="141">
        <v>76807</v>
      </c>
      <c r="B626" s="141" t="s">
        <v>4325</v>
      </c>
      <c r="C626" s="142">
        <v>41201</v>
      </c>
      <c r="D626" s="141">
        <v>334</v>
      </c>
      <c r="E626" s="141" t="str">
        <f t="shared" si="50"/>
        <v>001</v>
      </c>
      <c r="F626" s="141" t="s">
        <v>4326</v>
      </c>
      <c r="G626" s="141" t="str">
        <f t="shared" si="56"/>
        <v>0330</v>
      </c>
      <c r="H626" s="141" t="s">
        <v>4598</v>
      </c>
      <c r="I626" s="141" t="str">
        <f t="shared" si="52"/>
        <v>999</v>
      </c>
      <c r="J626" s="141" t="s">
        <v>4327</v>
      </c>
      <c r="K626" s="141">
        <v>446</v>
      </c>
      <c r="L626" s="141">
        <v>2</v>
      </c>
      <c r="M626" s="141">
        <v>0</v>
      </c>
      <c r="N626" s="141">
        <v>6000</v>
      </c>
      <c r="O626" s="141" t="s">
        <v>4334</v>
      </c>
      <c r="P626" s="141" t="s">
        <v>4361</v>
      </c>
    </row>
    <row r="627" spans="1:16" ht="25.5">
      <c r="A627" s="141">
        <v>76807</v>
      </c>
      <c r="B627" s="141" t="s">
        <v>4325</v>
      </c>
      <c r="C627" s="142">
        <v>41201</v>
      </c>
      <c r="D627" s="141">
        <v>334</v>
      </c>
      <c r="E627" s="141" t="str">
        <f t="shared" si="50"/>
        <v>001</v>
      </c>
      <c r="F627" s="141" t="s">
        <v>4326</v>
      </c>
      <c r="G627" s="141" t="str">
        <f t="shared" si="56"/>
        <v>0330</v>
      </c>
      <c r="H627" s="141" t="s">
        <v>4598</v>
      </c>
      <c r="I627" s="141" t="str">
        <f t="shared" si="52"/>
        <v>999</v>
      </c>
      <c r="J627" s="141" t="s">
        <v>4327</v>
      </c>
      <c r="K627" s="141">
        <v>447</v>
      </c>
      <c r="L627" s="141">
        <v>3</v>
      </c>
      <c r="M627" s="141">
        <v>0</v>
      </c>
      <c r="N627" s="141">
        <v>11000</v>
      </c>
      <c r="O627" s="141" t="s">
        <v>4334</v>
      </c>
      <c r="P627" s="141" t="s">
        <v>4362</v>
      </c>
    </row>
    <row r="628" spans="1:16" ht="25.5">
      <c r="A628" s="141">
        <v>76807</v>
      </c>
      <c r="B628" s="141" t="s">
        <v>4325</v>
      </c>
      <c r="C628" s="142">
        <v>41201</v>
      </c>
      <c r="D628" s="141">
        <v>334</v>
      </c>
      <c r="E628" s="141" t="str">
        <f t="shared" si="50"/>
        <v>001</v>
      </c>
      <c r="F628" s="141" t="s">
        <v>4326</v>
      </c>
      <c r="G628" s="141" t="str">
        <f t="shared" si="56"/>
        <v>0330</v>
      </c>
      <c r="H628" s="141" t="s">
        <v>4598</v>
      </c>
      <c r="I628" s="141" t="str">
        <f t="shared" si="52"/>
        <v>999</v>
      </c>
      <c r="J628" s="141" t="s">
        <v>4327</v>
      </c>
      <c r="K628" s="141">
        <v>448</v>
      </c>
      <c r="L628" s="141">
        <v>2</v>
      </c>
      <c r="M628" s="141">
        <v>0</v>
      </c>
      <c r="N628" s="141">
        <v>3000</v>
      </c>
      <c r="O628" s="141" t="s">
        <v>4409</v>
      </c>
      <c r="P628" s="141" t="s">
        <v>4340</v>
      </c>
    </row>
    <row r="629" spans="1:16" ht="25.5">
      <c r="A629" s="141">
        <v>76807</v>
      </c>
      <c r="B629" s="141" t="s">
        <v>4325</v>
      </c>
      <c r="C629" s="142">
        <v>41201</v>
      </c>
      <c r="D629" s="141">
        <v>334</v>
      </c>
      <c r="E629" s="141" t="str">
        <f t="shared" si="50"/>
        <v>001</v>
      </c>
      <c r="F629" s="141" t="s">
        <v>4326</v>
      </c>
      <c r="G629" s="141" t="str">
        <f t="shared" si="56"/>
        <v>0330</v>
      </c>
      <c r="H629" s="141" t="s">
        <v>4598</v>
      </c>
      <c r="I629" s="141" t="str">
        <f t="shared" si="52"/>
        <v>999</v>
      </c>
      <c r="J629" s="141" t="s">
        <v>4327</v>
      </c>
      <c r="K629" s="141">
        <v>449</v>
      </c>
      <c r="L629" s="141">
        <v>1</v>
      </c>
      <c r="M629" s="141">
        <v>0</v>
      </c>
      <c r="N629" s="141">
        <v>3000</v>
      </c>
      <c r="O629" s="141" t="s">
        <v>4364</v>
      </c>
      <c r="P629" s="141" t="s">
        <v>4365</v>
      </c>
    </row>
    <row r="630" spans="1:16" ht="25.5">
      <c r="A630" s="141">
        <v>76807</v>
      </c>
      <c r="B630" s="141" t="s">
        <v>4325</v>
      </c>
      <c r="C630" s="142">
        <v>41201</v>
      </c>
      <c r="D630" s="141">
        <v>334</v>
      </c>
      <c r="E630" s="141" t="str">
        <f t="shared" si="50"/>
        <v>001</v>
      </c>
      <c r="F630" s="141" t="s">
        <v>4326</v>
      </c>
      <c r="G630" s="141" t="str">
        <f t="shared" si="56"/>
        <v>0330</v>
      </c>
      <c r="H630" s="141" t="s">
        <v>4598</v>
      </c>
      <c r="I630" s="141" t="str">
        <f t="shared" si="52"/>
        <v>999</v>
      </c>
      <c r="J630" s="141" t="s">
        <v>4327</v>
      </c>
      <c r="K630" s="141">
        <v>450</v>
      </c>
      <c r="L630" s="141">
        <v>1</v>
      </c>
      <c r="M630" s="141">
        <v>0</v>
      </c>
      <c r="N630" s="141">
        <v>81000</v>
      </c>
      <c r="O630" s="141" t="s">
        <v>4368</v>
      </c>
      <c r="P630" s="141"/>
    </row>
    <row r="631" spans="1:16" ht="25.5">
      <c r="A631" s="141">
        <v>76807</v>
      </c>
      <c r="B631" s="141" t="s">
        <v>4325</v>
      </c>
      <c r="C631" s="142">
        <v>41201</v>
      </c>
      <c r="D631" s="141">
        <v>334</v>
      </c>
      <c r="E631" s="141" t="str">
        <f t="shared" si="50"/>
        <v>001</v>
      </c>
      <c r="F631" s="141" t="s">
        <v>4326</v>
      </c>
      <c r="G631" s="141" t="str">
        <f t="shared" si="56"/>
        <v>0330</v>
      </c>
      <c r="H631" s="141" t="s">
        <v>4598</v>
      </c>
      <c r="I631" s="141" t="str">
        <f t="shared" si="52"/>
        <v>999</v>
      </c>
      <c r="J631" s="141" t="s">
        <v>4327</v>
      </c>
      <c r="K631" s="141">
        <v>451</v>
      </c>
      <c r="L631" s="141">
        <v>4</v>
      </c>
      <c r="M631" s="141">
        <v>0</v>
      </c>
      <c r="N631" s="141">
        <v>10000</v>
      </c>
      <c r="O631" s="141" t="s">
        <v>4347</v>
      </c>
      <c r="P631" s="141"/>
    </row>
    <row r="632" spans="1:16" ht="25.5">
      <c r="A632" s="141">
        <v>76807</v>
      </c>
      <c r="B632" s="141" t="s">
        <v>4325</v>
      </c>
      <c r="C632" s="142">
        <v>41201</v>
      </c>
      <c r="D632" s="141">
        <v>334</v>
      </c>
      <c r="E632" s="141" t="str">
        <f t="shared" si="50"/>
        <v>001</v>
      </c>
      <c r="F632" s="141" t="s">
        <v>4326</v>
      </c>
      <c r="G632" s="141" t="str">
        <f t="shared" si="56"/>
        <v>0330</v>
      </c>
      <c r="H632" s="141" t="s">
        <v>4598</v>
      </c>
      <c r="I632" s="141" t="str">
        <f t="shared" si="52"/>
        <v>999</v>
      </c>
      <c r="J632" s="141" t="s">
        <v>4327</v>
      </c>
      <c r="K632" s="141">
        <v>452</v>
      </c>
      <c r="L632" s="141">
        <v>1</v>
      </c>
      <c r="M632" s="141">
        <v>0</v>
      </c>
      <c r="N632" s="141">
        <v>4000</v>
      </c>
      <c r="O632" s="141" t="s">
        <v>4406</v>
      </c>
      <c r="P632" s="141"/>
    </row>
    <row r="633" spans="1:16" ht="25.5">
      <c r="A633" s="141">
        <v>76807</v>
      </c>
      <c r="B633" s="141" t="s">
        <v>4325</v>
      </c>
      <c r="C633" s="142">
        <v>41201</v>
      </c>
      <c r="D633" s="141">
        <v>334</v>
      </c>
      <c r="E633" s="141" t="str">
        <f t="shared" si="50"/>
        <v>001</v>
      </c>
      <c r="F633" s="141" t="s">
        <v>4326</v>
      </c>
      <c r="G633" s="141" t="str">
        <f t="shared" si="56"/>
        <v>0330</v>
      </c>
      <c r="H633" s="141" t="s">
        <v>4598</v>
      </c>
      <c r="I633" s="141" t="str">
        <f t="shared" si="52"/>
        <v>999</v>
      </c>
      <c r="J633" s="141" t="s">
        <v>4327</v>
      </c>
      <c r="K633" s="141">
        <v>453</v>
      </c>
      <c r="L633" s="141">
        <v>1</v>
      </c>
      <c r="M633" s="141">
        <v>0</v>
      </c>
      <c r="N633" s="141">
        <v>3000</v>
      </c>
      <c r="O633" s="141" t="s">
        <v>4405</v>
      </c>
      <c r="P633" s="141" t="s">
        <v>4372</v>
      </c>
    </row>
    <row r="634" spans="1:16" ht="25.5">
      <c r="A634" s="141">
        <v>76807</v>
      </c>
      <c r="B634" s="141" t="s">
        <v>4325</v>
      </c>
      <c r="C634" s="142">
        <v>41201</v>
      </c>
      <c r="D634" s="141">
        <v>334</v>
      </c>
      <c r="E634" s="141" t="str">
        <f t="shared" si="50"/>
        <v>001</v>
      </c>
      <c r="F634" s="141" t="s">
        <v>4326</v>
      </c>
      <c r="G634" s="141" t="str">
        <f t="shared" si="56"/>
        <v>0330</v>
      </c>
      <c r="H634" s="141" t="s">
        <v>4598</v>
      </c>
      <c r="I634" s="141" t="str">
        <f t="shared" si="52"/>
        <v>999</v>
      </c>
      <c r="J634" s="141" t="s">
        <v>4327</v>
      </c>
      <c r="K634" s="141">
        <v>454</v>
      </c>
      <c r="L634" s="141">
        <v>1</v>
      </c>
      <c r="M634" s="141">
        <v>0</v>
      </c>
      <c r="N634" s="141">
        <v>20000</v>
      </c>
      <c r="O634" s="141" t="s">
        <v>4369</v>
      </c>
      <c r="P634" s="141" t="s">
        <v>4600</v>
      </c>
    </row>
    <row r="635" spans="1:16" ht="25.5">
      <c r="A635" s="141">
        <v>76807</v>
      </c>
      <c r="B635" s="141" t="s">
        <v>4325</v>
      </c>
      <c r="C635" s="142">
        <v>41201</v>
      </c>
      <c r="D635" s="141">
        <v>334</v>
      </c>
      <c r="E635" s="141" t="str">
        <f t="shared" si="50"/>
        <v>001</v>
      </c>
      <c r="F635" s="141" t="s">
        <v>4326</v>
      </c>
      <c r="G635" s="141" t="str">
        <f t="shared" si="56"/>
        <v>0330</v>
      </c>
      <c r="H635" s="141" t="s">
        <v>4598</v>
      </c>
      <c r="I635" s="141" t="str">
        <f t="shared" si="52"/>
        <v>999</v>
      </c>
      <c r="J635" s="141" t="s">
        <v>4327</v>
      </c>
      <c r="K635" s="141">
        <v>455</v>
      </c>
      <c r="L635" s="141">
        <v>2</v>
      </c>
      <c r="M635" s="141">
        <v>0</v>
      </c>
      <c r="N635" s="141">
        <v>1000</v>
      </c>
      <c r="O635" s="141" t="s">
        <v>4403</v>
      </c>
      <c r="P635" s="141"/>
    </row>
    <row r="636" spans="1:16" ht="25.5">
      <c r="A636" s="141">
        <v>76807</v>
      </c>
      <c r="B636" s="141" t="s">
        <v>4325</v>
      </c>
      <c r="C636" s="142">
        <v>41201</v>
      </c>
      <c r="D636" s="141">
        <v>334</v>
      </c>
      <c r="E636" s="141" t="str">
        <f t="shared" si="50"/>
        <v>001</v>
      </c>
      <c r="F636" s="141" t="s">
        <v>4326</v>
      </c>
      <c r="G636" s="141" t="str">
        <f t="shared" si="56"/>
        <v>0330</v>
      </c>
      <c r="H636" s="141" t="s">
        <v>4598</v>
      </c>
      <c r="I636" s="141" t="str">
        <f t="shared" si="52"/>
        <v>999</v>
      </c>
      <c r="J636" s="141" t="s">
        <v>4327</v>
      </c>
      <c r="K636" s="141">
        <v>456</v>
      </c>
      <c r="L636" s="141">
        <v>1</v>
      </c>
      <c r="M636" s="141">
        <v>0</v>
      </c>
      <c r="N636" s="141">
        <v>3000</v>
      </c>
      <c r="O636" s="141" t="s">
        <v>4404</v>
      </c>
      <c r="P636" s="141"/>
    </row>
    <row r="637" spans="1:16" ht="25.5">
      <c r="A637" s="141">
        <v>76807</v>
      </c>
      <c r="B637" s="141" t="s">
        <v>4325</v>
      </c>
      <c r="C637" s="142">
        <v>41201</v>
      </c>
      <c r="D637" s="141">
        <v>334</v>
      </c>
      <c r="E637" s="141" t="str">
        <f t="shared" si="50"/>
        <v>001</v>
      </c>
      <c r="F637" s="141" t="s">
        <v>4326</v>
      </c>
      <c r="G637" s="141" t="str">
        <f t="shared" si="56"/>
        <v>0330</v>
      </c>
      <c r="H637" s="141" t="s">
        <v>4598</v>
      </c>
      <c r="I637" s="141" t="str">
        <f t="shared" si="52"/>
        <v>999</v>
      </c>
      <c r="J637" s="141" t="s">
        <v>4327</v>
      </c>
      <c r="K637" s="141">
        <v>457</v>
      </c>
      <c r="L637" s="141">
        <v>1</v>
      </c>
      <c r="M637" s="141">
        <v>0</v>
      </c>
      <c r="N637" s="141">
        <v>1000</v>
      </c>
      <c r="O637" s="141" t="s">
        <v>4343</v>
      </c>
      <c r="P637" s="141"/>
    </row>
    <row r="638" spans="1:16" ht="25.5">
      <c r="A638" s="141">
        <v>76807</v>
      </c>
      <c r="B638" s="141" t="s">
        <v>4325</v>
      </c>
      <c r="C638" s="142">
        <v>41201</v>
      </c>
      <c r="D638" s="141">
        <v>334</v>
      </c>
      <c r="E638" s="141" t="str">
        <f t="shared" si="50"/>
        <v>001</v>
      </c>
      <c r="F638" s="141" t="s">
        <v>4326</v>
      </c>
      <c r="G638" s="141" t="str">
        <f t="shared" si="56"/>
        <v>0330</v>
      </c>
      <c r="H638" s="141" t="s">
        <v>4598</v>
      </c>
      <c r="I638" s="141" t="str">
        <f t="shared" si="52"/>
        <v>999</v>
      </c>
      <c r="J638" s="141" t="s">
        <v>4327</v>
      </c>
      <c r="K638" s="141">
        <v>458</v>
      </c>
      <c r="L638" s="141">
        <v>18</v>
      </c>
      <c r="M638" s="141">
        <v>0</v>
      </c>
      <c r="N638" s="141">
        <v>10000</v>
      </c>
      <c r="O638" s="141" t="s">
        <v>4350</v>
      </c>
      <c r="P638" s="141"/>
    </row>
    <row r="639" spans="1:16" ht="25.5">
      <c r="A639" s="141">
        <v>76807</v>
      </c>
      <c r="B639" s="141" t="s">
        <v>4325</v>
      </c>
      <c r="C639" s="142">
        <v>41201</v>
      </c>
      <c r="D639" s="141">
        <v>334</v>
      </c>
      <c r="E639" s="141" t="str">
        <f t="shared" si="50"/>
        <v>001</v>
      </c>
      <c r="F639" s="141" t="s">
        <v>4326</v>
      </c>
      <c r="G639" s="141" t="str">
        <f t="shared" si="56"/>
        <v>0330</v>
      </c>
      <c r="H639" s="141" t="s">
        <v>4598</v>
      </c>
      <c r="I639" s="141" t="str">
        <f t="shared" si="52"/>
        <v>999</v>
      </c>
      <c r="J639" s="141" t="s">
        <v>4327</v>
      </c>
      <c r="K639" s="141">
        <v>459</v>
      </c>
      <c r="L639" s="141">
        <v>1</v>
      </c>
      <c r="M639" s="141">
        <v>0</v>
      </c>
      <c r="N639" s="141">
        <v>2000</v>
      </c>
      <c r="O639" s="141" t="s">
        <v>4592</v>
      </c>
      <c r="P639" s="141"/>
    </row>
    <row r="640" spans="1:16" ht="25.5">
      <c r="A640" s="141">
        <v>76807</v>
      </c>
      <c r="B640" s="141" t="s">
        <v>4325</v>
      </c>
      <c r="C640" s="142">
        <v>41201</v>
      </c>
      <c r="D640" s="141">
        <v>721</v>
      </c>
      <c r="E640" s="141" t="str">
        <f t="shared" si="50"/>
        <v>001</v>
      </c>
      <c r="F640" s="141" t="s">
        <v>4326</v>
      </c>
      <c r="G640" s="141" t="str">
        <f t="shared" ref="G640:G649" si="57">"0331"</f>
        <v>0331</v>
      </c>
      <c r="H640" s="141" t="s">
        <v>4601</v>
      </c>
      <c r="I640" s="141" t="str">
        <f t="shared" si="52"/>
        <v>999</v>
      </c>
      <c r="J640" s="141" t="s">
        <v>4327</v>
      </c>
      <c r="K640" s="141">
        <v>2171</v>
      </c>
      <c r="L640" s="141">
        <v>1</v>
      </c>
      <c r="M640" s="141">
        <v>0</v>
      </c>
      <c r="N640" s="141">
        <v>1000</v>
      </c>
      <c r="O640" s="141" t="s">
        <v>4337</v>
      </c>
      <c r="P640" s="141" t="s">
        <v>4355</v>
      </c>
    </row>
    <row r="641" spans="1:16" ht="25.5">
      <c r="A641" s="141">
        <v>76807</v>
      </c>
      <c r="B641" s="141" t="s">
        <v>4325</v>
      </c>
      <c r="C641" s="142">
        <v>41201</v>
      </c>
      <c r="D641" s="141">
        <v>721</v>
      </c>
      <c r="E641" s="141" t="str">
        <f t="shared" si="50"/>
        <v>001</v>
      </c>
      <c r="F641" s="141" t="s">
        <v>4326</v>
      </c>
      <c r="G641" s="141" t="str">
        <f t="shared" si="57"/>
        <v>0331</v>
      </c>
      <c r="H641" s="141" t="s">
        <v>4601</v>
      </c>
      <c r="I641" s="141" t="str">
        <f t="shared" si="52"/>
        <v>999</v>
      </c>
      <c r="J641" s="141" t="s">
        <v>4327</v>
      </c>
      <c r="K641" s="141">
        <v>2172</v>
      </c>
      <c r="L641" s="141">
        <v>1</v>
      </c>
      <c r="M641" s="141">
        <v>0</v>
      </c>
      <c r="N641" s="141">
        <v>5000</v>
      </c>
      <c r="O641" s="141" t="s">
        <v>4397</v>
      </c>
      <c r="P641" s="141" t="s">
        <v>4415</v>
      </c>
    </row>
    <row r="642" spans="1:16" ht="25.5">
      <c r="A642" s="141">
        <v>76807</v>
      </c>
      <c r="B642" s="141" t="s">
        <v>4325</v>
      </c>
      <c r="C642" s="142">
        <v>41201</v>
      </c>
      <c r="D642" s="141">
        <v>721</v>
      </c>
      <c r="E642" s="141" t="str">
        <f t="shared" ref="E642:E705" si="58">"001"</f>
        <v>001</v>
      </c>
      <c r="F642" s="141" t="s">
        <v>4326</v>
      </c>
      <c r="G642" s="141" t="str">
        <f t="shared" si="57"/>
        <v>0331</v>
      </c>
      <c r="H642" s="141" t="s">
        <v>4601</v>
      </c>
      <c r="I642" s="141" t="str">
        <f t="shared" ref="I642:I705" si="59">"999"</f>
        <v>999</v>
      </c>
      <c r="J642" s="141" t="s">
        <v>4327</v>
      </c>
      <c r="K642" s="141">
        <v>2174</v>
      </c>
      <c r="L642" s="141">
        <v>1</v>
      </c>
      <c r="M642" s="141">
        <v>0</v>
      </c>
      <c r="N642" s="141">
        <v>47000</v>
      </c>
      <c r="O642" s="141" t="s">
        <v>4368</v>
      </c>
      <c r="P642" s="141"/>
    </row>
    <row r="643" spans="1:16" ht="25.5">
      <c r="A643" s="141">
        <v>76807</v>
      </c>
      <c r="B643" s="141" t="s">
        <v>4325</v>
      </c>
      <c r="C643" s="142">
        <v>41201</v>
      </c>
      <c r="D643" s="141">
        <v>721</v>
      </c>
      <c r="E643" s="141" t="str">
        <f t="shared" si="58"/>
        <v>001</v>
      </c>
      <c r="F643" s="141" t="s">
        <v>4326</v>
      </c>
      <c r="G643" s="141" t="str">
        <f t="shared" si="57"/>
        <v>0331</v>
      </c>
      <c r="H643" s="141" t="s">
        <v>4601</v>
      </c>
      <c r="I643" s="141" t="str">
        <f t="shared" si="59"/>
        <v>999</v>
      </c>
      <c r="J643" s="141" t="s">
        <v>4327</v>
      </c>
      <c r="K643" s="141">
        <v>2175</v>
      </c>
      <c r="L643" s="141">
        <v>3</v>
      </c>
      <c r="M643" s="141">
        <v>0</v>
      </c>
      <c r="N643" s="141">
        <v>2000</v>
      </c>
      <c r="O643" s="141" t="s">
        <v>4350</v>
      </c>
      <c r="P643" s="141"/>
    </row>
    <row r="644" spans="1:16" ht="25.5">
      <c r="A644" s="141">
        <v>76807</v>
      </c>
      <c r="B644" s="141" t="s">
        <v>4325</v>
      </c>
      <c r="C644" s="142">
        <v>41201</v>
      </c>
      <c r="D644" s="141">
        <v>721</v>
      </c>
      <c r="E644" s="141" t="str">
        <f t="shared" si="58"/>
        <v>001</v>
      </c>
      <c r="F644" s="141" t="s">
        <v>4326</v>
      </c>
      <c r="G644" s="141" t="str">
        <f t="shared" si="57"/>
        <v>0331</v>
      </c>
      <c r="H644" s="141" t="s">
        <v>4601</v>
      </c>
      <c r="I644" s="141" t="str">
        <f t="shared" si="59"/>
        <v>999</v>
      </c>
      <c r="J644" s="141" t="s">
        <v>4327</v>
      </c>
      <c r="K644" s="141">
        <v>2176</v>
      </c>
      <c r="L644" s="141">
        <v>4</v>
      </c>
      <c r="M644" s="141">
        <v>0</v>
      </c>
      <c r="N644" s="141">
        <v>3000</v>
      </c>
      <c r="O644" s="141" t="s">
        <v>4343</v>
      </c>
      <c r="P644" s="141"/>
    </row>
    <row r="645" spans="1:16" ht="25.5">
      <c r="A645" s="141">
        <v>76807</v>
      </c>
      <c r="B645" s="141" t="s">
        <v>4325</v>
      </c>
      <c r="C645" s="142">
        <v>41201</v>
      </c>
      <c r="D645" s="141">
        <v>721</v>
      </c>
      <c r="E645" s="141" t="str">
        <f t="shared" si="58"/>
        <v>001</v>
      </c>
      <c r="F645" s="141" t="s">
        <v>4326</v>
      </c>
      <c r="G645" s="141" t="str">
        <f t="shared" si="57"/>
        <v>0331</v>
      </c>
      <c r="H645" s="141" t="s">
        <v>4601</v>
      </c>
      <c r="I645" s="141" t="str">
        <f t="shared" si="59"/>
        <v>999</v>
      </c>
      <c r="J645" s="141" t="s">
        <v>4327</v>
      </c>
      <c r="K645" s="141">
        <v>2177</v>
      </c>
      <c r="L645" s="141">
        <v>1</v>
      </c>
      <c r="M645" s="141">
        <v>0</v>
      </c>
      <c r="N645" s="141">
        <v>2000</v>
      </c>
      <c r="O645" s="141" t="s">
        <v>4345</v>
      </c>
      <c r="P645" s="141"/>
    </row>
    <row r="646" spans="1:16" ht="25.5">
      <c r="A646" s="141">
        <v>76807</v>
      </c>
      <c r="B646" s="141" t="s">
        <v>4325</v>
      </c>
      <c r="C646" s="142">
        <v>41201</v>
      </c>
      <c r="D646" s="141">
        <v>721</v>
      </c>
      <c r="E646" s="141" t="str">
        <f t="shared" si="58"/>
        <v>001</v>
      </c>
      <c r="F646" s="141" t="s">
        <v>4326</v>
      </c>
      <c r="G646" s="141" t="str">
        <f t="shared" si="57"/>
        <v>0331</v>
      </c>
      <c r="H646" s="141" t="s">
        <v>4601</v>
      </c>
      <c r="I646" s="141" t="str">
        <f t="shared" si="59"/>
        <v>999</v>
      </c>
      <c r="J646" s="141" t="s">
        <v>4327</v>
      </c>
      <c r="K646" s="141">
        <v>2178</v>
      </c>
      <c r="L646" s="141">
        <v>1</v>
      </c>
      <c r="M646" s="141">
        <v>0</v>
      </c>
      <c r="N646" s="141">
        <v>5000</v>
      </c>
      <c r="O646" s="141" t="s">
        <v>4369</v>
      </c>
      <c r="P646" s="141" t="s">
        <v>4602</v>
      </c>
    </row>
    <row r="647" spans="1:16" ht="25.5">
      <c r="A647" s="141">
        <v>76807</v>
      </c>
      <c r="B647" s="141" t="s">
        <v>4325</v>
      </c>
      <c r="C647" s="142">
        <v>41201</v>
      </c>
      <c r="D647" s="141">
        <v>721</v>
      </c>
      <c r="E647" s="141" t="str">
        <f t="shared" si="58"/>
        <v>001</v>
      </c>
      <c r="F647" s="141" t="s">
        <v>4326</v>
      </c>
      <c r="G647" s="141" t="str">
        <f t="shared" si="57"/>
        <v>0331</v>
      </c>
      <c r="H647" s="141" t="s">
        <v>4601</v>
      </c>
      <c r="I647" s="141" t="str">
        <f t="shared" si="59"/>
        <v>999</v>
      </c>
      <c r="J647" s="141" t="s">
        <v>4327</v>
      </c>
      <c r="K647" s="141">
        <v>2179</v>
      </c>
      <c r="L647" s="141">
        <v>3</v>
      </c>
      <c r="M647" s="141">
        <v>0</v>
      </c>
      <c r="N647" s="141">
        <v>7000</v>
      </c>
      <c r="O647" s="141" t="s">
        <v>4347</v>
      </c>
      <c r="P647" s="141"/>
    </row>
    <row r="648" spans="1:16" ht="25.5">
      <c r="A648" s="141">
        <v>76807</v>
      </c>
      <c r="B648" s="141" t="s">
        <v>4325</v>
      </c>
      <c r="C648" s="142">
        <v>41201</v>
      </c>
      <c r="D648" s="141">
        <v>721</v>
      </c>
      <c r="E648" s="141" t="str">
        <f t="shared" si="58"/>
        <v>001</v>
      </c>
      <c r="F648" s="141" t="s">
        <v>4326</v>
      </c>
      <c r="G648" s="141" t="str">
        <f t="shared" si="57"/>
        <v>0331</v>
      </c>
      <c r="H648" s="141" t="s">
        <v>4601</v>
      </c>
      <c r="I648" s="141" t="str">
        <f t="shared" si="59"/>
        <v>999</v>
      </c>
      <c r="J648" s="141" t="s">
        <v>4327</v>
      </c>
      <c r="K648" s="141">
        <v>2180</v>
      </c>
      <c r="L648" s="141">
        <v>1</v>
      </c>
      <c r="M648" s="141">
        <v>0</v>
      </c>
      <c r="N648" s="141">
        <v>4000</v>
      </c>
      <c r="O648" s="141" t="s">
        <v>4371</v>
      </c>
      <c r="P648" s="141" t="s">
        <v>4372</v>
      </c>
    </row>
    <row r="649" spans="1:16" ht="25.5">
      <c r="A649" s="141">
        <v>76807</v>
      </c>
      <c r="B649" s="141" t="s">
        <v>4325</v>
      </c>
      <c r="C649" s="142">
        <v>41201</v>
      </c>
      <c r="D649" s="141">
        <v>721</v>
      </c>
      <c r="E649" s="141" t="str">
        <f t="shared" si="58"/>
        <v>001</v>
      </c>
      <c r="F649" s="141" t="s">
        <v>4326</v>
      </c>
      <c r="G649" s="141" t="str">
        <f t="shared" si="57"/>
        <v>0331</v>
      </c>
      <c r="H649" s="141" t="s">
        <v>4601</v>
      </c>
      <c r="I649" s="141" t="str">
        <f t="shared" si="59"/>
        <v>999</v>
      </c>
      <c r="J649" s="141" t="s">
        <v>4327</v>
      </c>
      <c r="K649" s="141">
        <v>2181</v>
      </c>
      <c r="L649" s="141">
        <v>3</v>
      </c>
      <c r="M649" s="141">
        <v>0</v>
      </c>
      <c r="N649" s="141">
        <v>18000</v>
      </c>
      <c r="O649" s="141" t="s">
        <v>4339</v>
      </c>
      <c r="P649" s="141" t="s">
        <v>4414</v>
      </c>
    </row>
    <row r="650" spans="1:16" ht="25.5">
      <c r="A650" s="141">
        <v>76807</v>
      </c>
      <c r="B650" s="141" t="s">
        <v>4325</v>
      </c>
      <c r="C650" s="142">
        <v>41201</v>
      </c>
      <c r="D650" s="141">
        <v>432</v>
      </c>
      <c r="E650" s="141" t="str">
        <f t="shared" si="58"/>
        <v>001</v>
      </c>
      <c r="F650" s="141" t="s">
        <v>4326</v>
      </c>
      <c r="G650" s="141" t="str">
        <f>"0333"</f>
        <v>0333</v>
      </c>
      <c r="H650" s="141" t="s">
        <v>2783</v>
      </c>
      <c r="I650" s="141" t="str">
        <f t="shared" si="59"/>
        <v>999</v>
      </c>
      <c r="J650" s="141" t="s">
        <v>4327</v>
      </c>
      <c r="K650" s="141">
        <v>1257</v>
      </c>
      <c r="L650" s="141">
        <v>1</v>
      </c>
      <c r="M650" s="141">
        <v>0</v>
      </c>
      <c r="N650" s="141">
        <v>448000</v>
      </c>
      <c r="O650" s="141" t="s">
        <v>4366</v>
      </c>
      <c r="P650" s="141" t="s">
        <v>4603</v>
      </c>
    </row>
    <row r="651" spans="1:16" ht="25.5">
      <c r="A651" s="141">
        <v>76807</v>
      </c>
      <c r="B651" s="141" t="s">
        <v>4325</v>
      </c>
      <c r="C651" s="142">
        <v>41201</v>
      </c>
      <c r="D651" s="141">
        <v>432</v>
      </c>
      <c r="E651" s="141" t="str">
        <f t="shared" si="58"/>
        <v>001</v>
      </c>
      <c r="F651" s="141" t="s">
        <v>4326</v>
      </c>
      <c r="G651" s="141" t="str">
        <f>"0333"</f>
        <v>0333</v>
      </c>
      <c r="H651" s="141" t="s">
        <v>2783</v>
      </c>
      <c r="I651" s="141" t="str">
        <f t="shared" si="59"/>
        <v>999</v>
      </c>
      <c r="J651" s="141" t="s">
        <v>4327</v>
      </c>
      <c r="K651" s="141">
        <v>1258</v>
      </c>
      <c r="L651" s="141">
        <v>16</v>
      </c>
      <c r="M651" s="141">
        <v>0</v>
      </c>
      <c r="N651" s="141">
        <v>78000</v>
      </c>
      <c r="O651" s="141" t="s">
        <v>4357</v>
      </c>
      <c r="P651" s="141" t="s">
        <v>4335</v>
      </c>
    </row>
    <row r="652" spans="1:16" ht="25.5">
      <c r="A652" s="141">
        <v>76807</v>
      </c>
      <c r="B652" s="141" t="s">
        <v>4325</v>
      </c>
      <c r="C652" s="142">
        <v>41201</v>
      </c>
      <c r="D652" s="141">
        <v>423</v>
      </c>
      <c r="E652" s="141" t="str">
        <f t="shared" si="58"/>
        <v>001</v>
      </c>
      <c r="F652" s="141" t="s">
        <v>4326</v>
      </c>
      <c r="G652" s="141" t="str">
        <f t="shared" ref="G652:G659" si="60">"0336"</f>
        <v>0336</v>
      </c>
      <c r="H652" s="141" t="s">
        <v>1631</v>
      </c>
      <c r="I652" s="141" t="str">
        <f t="shared" si="59"/>
        <v>999</v>
      </c>
      <c r="J652" s="141" t="s">
        <v>4327</v>
      </c>
      <c r="K652" s="141">
        <v>1198</v>
      </c>
      <c r="L652" s="141">
        <v>1</v>
      </c>
      <c r="M652" s="141">
        <v>0</v>
      </c>
      <c r="N652" s="141">
        <v>5000</v>
      </c>
      <c r="O652" s="141" t="s">
        <v>4399</v>
      </c>
      <c r="P652" s="141" t="s">
        <v>4467</v>
      </c>
    </row>
    <row r="653" spans="1:16" ht="25.5">
      <c r="A653" s="141">
        <v>76807</v>
      </c>
      <c r="B653" s="141" t="s">
        <v>4325</v>
      </c>
      <c r="C653" s="142">
        <v>41201</v>
      </c>
      <c r="D653" s="141">
        <v>423</v>
      </c>
      <c r="E653" s="141" t="str">
        <f t="shared" si="58"/>
        <v>001</v>
      </c>
      <c r="F653" s="141" t="s">
        <v>4326</v>
      </c>
      <c r="G653" s="141" t="str">
        <f t="shared" si="60"/>
        <v>0336</v>
      </c>
      <c r="H653" s="141" t="s">
        <v>1631</v>
      </c>
      <c r="I653" s="141" t="str">
        <f t="shared" si="59"/>
        <v>999</v>
      </c>
      <c r="J653" s="141" t="s">
        <v>4327</v>
      </c>
      <c r="K653" s="141">
        <v>1199</v>
      </c>
      <c r="L653" s="141">
        <v>1</v>
      </c>
      <c r="M653" s="141">
        <v>0</v>
      </c>
      <c r="N653" s="141">
        <v>5000</v>
      </c>
      <c r="O653" s="141" t="s">
        <v>4399</v>
      </c>
      <c r="P653" s="141" t="s">
        <v>4467</v>
      </c>
    </row>
    <row r="654" spans="1:16" ht="25.5">
      <c r="A654" s="141">
        <v>76807</v>
      </c>
      <c r="B654" s="141" t="s">
        <v>4325</v>
      </c>
      <c r="C654" s="142">
        <v>41201</v>
      </c>
      <c r="D654" s="141">
        <v>423</v>
      </c>
      <c r="E654" s="141" t="str">
        <f t="shared" si="58"/>
        <v>001</v>
      </c>
      <c r="F654" s="141" t="s">
        <v>4326</v>
      </c>
      <c r="G654" s="141" t="str">
        <f t="shared" si="60"/>
        <v>0336</v>
      </c>
      <c r="H654" s="141" t="s">
        <v>1631</v>
      </c>
      <c r="I654" s="141" t="str">
        <f t="shared" si="59"/>
        <v>999</v>
      </c>
      <c r="J654" s="141" t="s">
        <v>4327</v>
      </c>
      <c r="K654" s="141">
        <v>1200</v>
      </c>
      <c r="L654" s="141">
        <v>12</v>
      </c>
      <c r="M654" s="141">
        <v>0</v>
      </c>
      <c r="N654" s="141">
        <v>26000</v>
      </c>
      <c r="O654" s="141" t="s">
        <v>4408</v>
      </c>
      <c r="P654" s="141"/>
    </row>
    <row r="655" spans="1:16" ht="25.5">
      <c r="A655" s="141">
        <v>76807</v>
      </c>
      <c r="B655" s="141" t="s">
        <v>4325</v>
      </c>
      <c r="C655" s="142">
        <v>41201</v>
      </c>
      <c r="D655" s="141">
        <v>423</v>
      </c>
      <c r="E655" s="141" t="str">
        <f t="shared" si="58"/>
        <v>001</v>
      </c>
      <c r="F655" s="141" t="s">
        <v>4326</v>
      </c>
      <c r="G655" s="141" t="str">
        <f t="shared" si="60"/>
        <v>0336</v>
      </c>
      <c r="H655" s="141" t="s">
        <v>1631</v>
      </c>
      <c r="I655" s="141" t="str">
        <f t="shared" si="59"/>
        <v>999</v>
      </c>
      <c r="J655" s="141" t="s">
        <v>4327</v>
      </c>
      <c r="K655" s="141">
        <v>1201</v>
      </c>
      <c r="L655" s="141">
        <v>1</v>
      </c>
      <c r="M655" s="141">
        <v>0</v>
      </c>
      <c r="N655" s="141">
        <v>6000</v>
      </c>
      <c r="O655" s="141" t="s">
        <v>4407</v>
      </c>
      <c r="P655" s="141"/>
    </row>
    <row r="656" spans="1:16" ht="25.5">
      <c r="A656" s="141">
        <v>76807</v>
      </c>
      <c r="B656" s="141" t="s">
        <v>4325</v>
      </c>
      <c r="C656" s="142">
        <v>41201</v>
      </c>
      <c r="D656" s="141">
        <v>423</v>
      </c>
      <c r="E656" s="141" t="str">
        <f t="shared" si="58"/>
        <v>001</v>
      </c>
      <c r="F656" s="141" t="s">
        <v>4326</v>
      </c>
      <c r="G656" s="141" t="str">
        <f t="shared" si="60"/>
        <v>0336</v>
      </c>
      <c r="H656" s="141" t="s">
        <v>1631</v>
      </c>
      <c r="I656" s="141" t="str">
        <f t="shared" si="59"/>
        <v>999</v>
      </c>
      <c r="J656" s="141" t="s">
        <v>4327</v>
      </c>
      <c r="K656" s="141">
        <v>1202</v>
      </c>
      <c r="L656" s="141">
        <v>1</v>
      </c>
      <c r="M656" s="141">
        <v>0</v>
      </c>
      <c r="N656" s="141">
        <v>4000</v>
      </c>
      <c r="O656" s="141" t="s">
        <v>4341</v>
      </c>
      <c r="P656" s="141" t="s">
        <v>4389</v>
      </c>
    </row>
    <row r="657" spans="1:16" ht="25.5">
      <c r="A657" s="141">
        <v>76807</v>
      </c>
      <c r="B657" s="141" t="s">
        <v>4325</v>
      </c>
      <c r="C657" s="142">
        <v>41201</v>
      </c>
      <c r="D657" s="141">
        <v>423</v>
      </c>
      <c r="E657" s="141" t="str">
        <f t="shared" si="58"/>
        <v>001</v>
      </c>
      <c r="F657" s="141" t="s">
        <v>4326</v>
      </c>
      <c r="G657" s="141" t="str">
        <f t="shared" si="60"/>
        <v>0336</v>
      </c>
      <c r="H657" s="141" t="s">
        <v>1631</v>
      </c>
      <c r="I657" s="141" t="str">
        <f t="shared" si="59"/>
        <v>999</v>
      </c>
      <c r="J657" s="141" t="s">
        <v>4327</v>
      </c>
      <c r="K657" s="141">
        <v>1203</v>
      </c>
      <c r="L657" s="141">
        <v>1</v>
      </c>
      <c r="M657" s="141">
        <v>0</v>
      </c>
      <c r="N657" s="141">
        <v>13000</v>
      </c>
      <c r="O657" s="141" t="s">
        <v>4337</v>
      </c>
      <c r="P657" s="141" t="s">
        <v>4590</v>
      </c>
    </row>
    <row r="658" spans="1:16" ht="25.5">
      <c r="A658" s="141">
        <v>76807</v>
      </c>
      <c r="B658" s="141" t="s">
        <v>4325</v>
      </c>
      <c r="C658" s="142">
        <v>41201</v>
      </c>
      <c r="D658" s="141">
        <v>423</v>
      </c>
      <c r="E658" s="141" t="str">
        <f t="shared" si="58"/>
        <v>001</v>
      </c>
      <c r="F658" s="141" t="s">
        <v>4326</v>
      </c>
      <c r="G658" s="141" t="str">
        <f t="shared" si="60"/>
        <v>0336</v>
      </c>
      <c r="H658" s="141" t="s">
        <v>1631</v>
      </c>
      <c r="I658" s="141" t="str">
        <f t="shared" si="59"/>
        <v>999</v>
      </c>
      <c r="J658" s="141" t="s">
        <v>4327</v>
      </c>
      <c r="K658" s="141">
        <v>1204</v>
      </c>
      <c r="L658" s="141">
        <v>3</v>
      </c>
      <c r="M658" s="141">
        <v>0</v>
      </c>
      <c r="N658" s="141">
        <v>13000</v>
      </c>
      <c r="O658" s="141" t="s">
        <v>4334</v>
      </c>
      <c r="P658" s="141" t="s">
        <v>4604</v>
      </c>
    </row>
    <row r="659" spans="1:16" ht="25.5">
      <c r="A659" s="141">
        <v>76807</v>
      </c>
      <c r="B659" s="141" t="s">
        <v>4325</v>
      </c>
      <c r="C659" s="142">
        <v>41201</v>
      </c>
      <c r="D659" s="141">
        <v>423</v>
      </c>
      <c r="E659" s="141" t="str">
        <f t="shared" si="58"/>
        <v>001</v>
      </c>
      <c r="F659" s="141" t="s">
        <v>4326</v>
      </c>
      <c r="G659" s="141" t="str">
        <f t="shared" si="60"/>
        <v>0336</v>
      </c>
      <c r="H659" s="141" t="s">
        <v>1631</v>
      </c>
      <c r="I659" s="141" t="str">
        <f t="shared" si="59"/>
        <v>999</v>
      </c>
      <c r="J659" s="141" t="s">
        <v>4327</v>
      </c>
      <c r="K659" s="141">
        <v>1205</v>
      </c>
      <c r="L659" s="141">
        <v>2</v>
      </c>
      <c r="M659" s="141">
        <v>0</v>
      </c>
      <c r="N659" s="141">
        <v>11000</v>
      </c>
      <c r="O659" s="141" t="s">
        <v>4357</v>
      </c>
      <c r="P659" s="141" t="s">
        <v>4605</v>
      </c>
    </row>
    <row r="660" spans="1:16" ht="25.5">
      <c r="A660" s="141">
        <v>76807</v>
      </c>
      <c r="B660" s="141" t="s">
        <v>4325</v>
      </c>
      <c r="C660" s="142">
        <v>41201</v>
      </c>
      <c r="D660" s="141">
        <v>441</v>
      </c>
      <c r="E660" s="141" t="str">
        <f t="shared" si="58"/>
        <v>001</v>
      </c>
      <c r="F660" s="141" t="s">
        <v>4326</v>
      </c>
      <c r="G660" s="141" t="str">
        <f>"0338"</f>
        <v>0338</v>
      </c>
      <c r="H660" s="141" t="s">
        <v>967</v>
      </c>
      <c r="I660" s="141" t="str">
        <f t="shared" si="59"/>
        <v>999</v>
      </c>
      <c r="J660" s="141" t="s">
        <v>4327</v>
      </c>
      <c r="K660" s="141">
        <v>1300</v>
      </c>
      <c r="L660" s="141">
        <v>10</v>
      </c>
      <c r="M660" s="141">
        <v>0</v>
      </c>
      <c r="N660" s="141">
        <v>6000</v>
      </c>
      <c r="O660" s="141" t="s">
        <v>4350</v>
      </c>
      <c r="P660" s="141"/>
    </row>
    <row r="661" spans="1:16" ht="25.5">
      <c r="A661" s="141">
        <v>76807</v>
      </c>
      <c r="B661" s="141" t="s">
        <v>4325</v>
      </c>
      <c r="C661" s="142">
        <v>41201</v>
      </c>
      <c r="D661" s="141">
        <v>441</v>
      </c>
      <c r="E661" s="141" t="str">
        <f t="shared" si="58"/>
        <v>001</v>
      </c>
      <c r="F661" s="141" t="s">
        <v>4326</v>
      </c>
      <c r="G661" s="141" t="str">
        <f>"0338"</f>
        <v>0338</v>
      </c>
      <c r="H661" s="141" t="s">
        <v>967</v>
      </c>
      <c r="I661" s="141" t="str">
        <f t="shared" si="59"/>
        <v>999</v>
      </c>
      <c r="J661" s="141" t="s">
        <v>4327</v>
      </c>
      <c r="K661" s="141">
        <v>1301</v>
      </c>
      <c r="L661" s="141">
        <v>1</v>
      </c>
      <c r="M661" s="141">
        <v>0</v>
      </c>
      <c r="N661" s="141">
        <v>15000</v>
      </c>
      <c r="O661" s="141" t="s">
        <v>4328</v>
      </c>
      <c r="P661" s="141" t="s">
        <v>4590</v>
      </c>
    </row>
    <row r="662" spans="1:16" ht="25.5">
      <c r="A662" s="141">
        <v>76807</v>
      </c>
      <c r="B662" s="141" t="s">
        <v>4325</v>
      </c>
      <c r="C662" s="142">
        <v>41201</v>
      </c>
      <c r="D662" s="141">
        <v>441</v>
      </c>
      <c r="E662" s="141" t="str">
        <f t="shared" si="58"/>
        <v>001</v>
      </c>
      <c r="F662" s="141" t="s">
        <v>4326</v>
      </c>
      <c r="G662" s="141" t="str">
        <f>"0338"</f>
        <v>0338</v>
      </c>
      <c r="H662" s="141" t="s">
        <v>967</v>
      </c>
      <c r="I662" s="141" t="str">
        <f t="shared" si="59"/>
        <v>999</v>
      </c>
      <c r="J662" s="141" t="s">
        <v>4327</v>
      </c>
      <c r="K662" s="141">
        <v>1302</v>
      </c>
      <c r="L662" s="141">
        <v>1</v>
      </c>
      <c r="M662" s="141">
        <v>0</v>
      </c>
      <c r="N662" s="141">
        <v>2000</v>
      </c>
      <c r="O662" s="141" t="s">
        <v>4330</v>
      </c>
      <c r="P662" s="141" t="s">
        <v>4443</v>
      </c>
    </row>
    <row r="663" spans="1:16" ht="25.5">
      <c r="A663" s="141">
        <v>76807</v>
      </c>
      <c r="B663" s="141" t="s">
        <v>4325</v>
      </c>
      <c r="C663" s="142">
        <v>41201</v>
      </c>
      <c r="D663" s="141">
        <v>410</v>
      </c>
      <c r="E663" s="141" t="str">
        <f t="shared" si="58"/>
        <v>001</v>
      </c>
      <c r="F663" s="141" t="s">
        <v>4326</v>
      </c>
      <c r="G663" s="141" t="str">
        <f t="shared" ref="G663:G670" si="61">"0340"</f>
        <v>0340</v>
      </c>
      <c r="H663" s="141" t="s">
        <v>2786</v>
      </c>
      <c r="I663" s="141" t="str">
        <f t="shared" si="59"/>
        <v>999</v>
      </c>
      <c r="J663" s="141" t="s">
        <v>4327</v>
      </c>
      <c r="K663" s="141">
        <v>1113</v>
      </c>
      <c r="L663" s="141">
        <v>1</v>
      </c>
      <c r="M663" s="141">
        <v>0</v>
      </c>
      <c r="N663" s="141">
        <v>8000</v>
      </c>
      <c r="O663" s="141" t="s">
        <v>4337</v>
      </c>
      <c r="P663" s="141" t="s">
        <v>4423</v>
      </c>
    </row>
    <row r="664" spans="1:16" ht="25.5">
      <c r="A664" s="141">
        <v>76807</v>
      </c>
      <c r="B664" s="141" t="s">
        <v>4325</v>
      </c>
      <c r="C664" s="142">
        <v>41201</v>
      </c>
      <c r="D664" s="141">
        <v>410</v>
      </c>
      <c r="E664" s="141" t="str">
        <f t="shared" si="58"/>
        <v>001</v>
      </c>
      <c r="F664" s="141" t="s">
        <v>4326</v>
      </c>
      <c r="G664" s="141" t="str">
        <f t="shared" si="61"/>
        <v>0340</v>
      </c>
      <c r="H664" s="141" t="s">
        <v>2786</v>
      </c>
      <c r="I664" s="141" t="str">
        <f t="shared" si="59"/>
        <v>999</v>
      </c>
      <c r="J664" s="141" t="s">
        <v>4327</v>
      </c>
      <c r="K664" s="141">
        <v>1114</v>
      </c>
      <c r="L664" s="141">
        <v>6</v>
      </c>
      <c r="M664" s="141">
        <v>0</v>
      </c>
      <c r="N664" s="141">
        <v>70000</v>
      </c>
      <c r="O664" s="141" t="s">
        <v>4357</v>
      </c>
      <c r="P664" s="141" t="s">
        <v>4417</v>
      </c>
    </row>
    <row r="665" spans="1:16" ht="25.5">
      <c r="A665" s="141">
        <v>76807</v>
      </c>
      <c r="B665" s="141" t="s">
        <v>4325</v>
      </c>
      <c r="C665" s="142">
        <v>41201</v>
      </c>
      <c r="D665" s="141">
        <v>410</v>
      </c>
      <c r="E665" s="141" t="str">
        <f t="shared" si="58"/>
        <v>001</v>
      </c>
      <c r="F665" s="141" t="s">
        <v>4326</v>
      </c>
      <c r="G665" s="141" t="str">
        <f t="shared" si="61"/>
        <v>0340</v>
      </c>
      <c r="H665" s="141" t="s">
        <v>2786</v>
      </c>
      <c r="I665" s="141" t="str">
        <f t="shared" si="59"/>
        <v>999</v>
      </c>
      <c r="J665" s="141" t="s">
        <v>4327</v>
      </c>
      <c r="K665" s="141">
        <v>1115</v>
      </c>
      <c r="L665" s="141">
        <v>4</v>
      </c>
      <c r="M665" s="141">
        <v>0</v>
      </c>
      <c r="N665" s="141">
        <v>24000</v>
      </c>
      <c r="O665" s="141" t="s">
        <v>4357</v>
      </c>
      <c r="P665" s="141" t="s">
        <v>4362</v>
      </c>
    </row>
    <row r="666" spans="1:16" ht="25.5">
      <c r="A666" s="141">
        <v>76807</v>
      </c>
      <c r="B666" s="141" t="s">
        <v>4325</v>
      </c>
      <c r="C666" s="142">
        <v>41201</v>
      </c>
      <c r="D666" s="141">
        <v>410</v>
      </c>
      <c r="E666" s="141" t="str">
        <f t="shared" si="58"/>
        <v>001</v>
      </c>
      <c r="F666" s="141" t="s">
        <v>4326</v>
      </c>
      <c r="G666" s="141" t="str">
        <f t="shared" si="61"/>
        <v>0340</v>
      </c>
      <c r="H666" s="141" t="s">
        <v>2786</v>
      </c>
      <c r="I666" s="141" t="str">
        <f t="shared" si="59"/>
        <v>999</v>
      </c>
      <c r="J666" s="141" t="s">
        <v>4327</v>
      </c>
      <c r="K666" s="141">
        <v>1116</v>
      </c>
      <c r="L666" s="141">
        <v>2</v>
      </c>
      <c r="M666" s="141">
        <v>0</v>
      </c>
      <c r="N666" s="141">
        <v>7000</v>
      </c>
      <c r="O666" s="141" t="s">
        <v>4357</v>
      </c>
      <c r="P666" s="141" t="s">
        <v>4340</v>
      </c>
    </row>
    <row r="667" spans="1:16" ht="25.5">
      <c r="A667" s="141">
        <v>76807</v>
      </c>
      <c r="B667" s="141" t="s">
        <v>4325</v>
      </c>
      <c r="C667" s="142">
        <v>41201</v>
      </c>
      <c r="D667" s="141">
        <v>410</v>
      </c>
      <c r="E667" s="141" t="str">
        <f t="shared" si="58"/>
        <v>001</v>
      </c>
      <c r="F667" s="141" t="s">
        <v>4326</v>
      </c>
      <c r="G667" s="141" t="str">
        <f t="shared" si="61"/>
        <v>0340</v>
      </c>
      <c r="H667" s="141" t="s">
        <v>2786</v>
      </c>
      <c r="I667" s="141" t="str">
        <f t="shared" si="59"/>
        <v>999</v>
      </c>
      <c r="J667" s="141" t="s">
        <v>4327</v>
      </c>
      <c r="K667" s="141">
        <v>1117</v>
      </c>
      <c r="L667" s="141">
        <v>2</v>
      </c>
      <c r="M667" s="141">
        <v>0</v>
      </c>
      <c r="N667" s="141">
        <v>5000</v>
      </c>
      <c r="O667" s="141" t="s">
        <v>4357</v>
      </c>
      <c r="P667" s="141" t="s">
        <v>4363</v>
      </c>
    </row>
    <row r="668" spans="1:16" ht="25.5">
      <c r="A668" s="141">
        <v>76807</v>
      </c>
      <c r="B668" s="141" t="s">
        <v>4325</v>
      </c>
      <c r="C668" s="142">
        <v>41201</v>
      </c>
      <c r="D668" s="141">
        <v>410</v>
      </c>
      <c r="E668" s="141" t="str">
        <f t="shared" si="58"/>
        <v>001</v>
      </c>
      <c r="F668" s="141" t="s">
        <v>4326</v>
      </c>
      <c r="G668" s="141" t="str">
        <f t="shared" si="61"/>
        <v>0340</v>
      </c>
      <c r="H668" s="141" t="s">
        <v>2786</v>
      </c>
      <c r="I668" s="141" t="str">
        <f t="shared" si="59"/>
        <v>999</v>
      </c>
      <c r="J668" s="141" t="s">
        <v>4327</v>
      </c>
      <c r="K668" s="141">
        <v>1118</v>
      </c>
      <c r="L668" s="141">
        <v>6</v>
      </c>
      <c r="M668" s="141">
        <v>0</v>
      </c>
      <c r="N668" s="141">
        <v>13000</v>
      </c>
      <c r="O668" s="141" t="s">
        <v>4408</v>
      </c>
      <c r="P668" s="141"/>
    </row>
    <row r="669" spans="1:16" ht="25.5">
      <c r="A669" s="141">
        <v>76807</v>
      </c>
      <c r="B669" s="141" t="s">
        <v>4325</v>
      </c>
      <c r="C669" s="142">
        <v>41201</v>
      </c>
      <c r="D669" s="141">
        <v>410</v>
      </c>
      <c r="E669" s="141" t="str">
        <f t="shared" si="58"/>
        <v>001</v>
      </c>
      <c r="F669" s="141" t="s">
        <v>4326</v>
      </c>
      <c r="G669" s="141" t="str">
        <f t="shared" si="61"/>
        <v>0340</v>
      </c>
      <c r="H669" s="141" t="s">
        <v>2786</v>
      </c>
      <c r="I669" s="141" t="str">
        <f t="shared" si="59"/>
        <v>999</v>
      </c>
      <c r="J669" s="141" t="s">
        <v>4327</v>
      </c>
      <c r="K669" s="141">
        <v>1119</v>
      </c>
      <c r="L669" s="141">
        <v>2</v>
      </c>
      <c r="M669" s="141">
        <v>0</v>
      </c>
      <c r="N669" s="141">
        <v>13000</v>
      </c>
      <c r="O669" s="141" t="s">
        <v>4407</v>
      </c>
      <c r="P669" s="141"/>
    </row>
    <row r="670" spans="1:16" ht="25.5">
      <c r="A670" s="141">
        <v>76807</v>
      </c>
      <c r="B670" s="141" t="s">
        <v>4325</v>
      </c>
      <c r="C670" s="142">
        <v>41201</v>
      </c>
      <c r="D670" s="141">
        <v>410</v>
      </c>
      <c r="E670" s="141" t="str">
        <f t="shared" si="58"/>
        <v>001</v>
      </c>
      <c r="F670" s="141" t="s">
        <v>4326</v>
      </c>
      <c r="G670" s="141" t="str">
        <f t="shared" si="61"/>
        <v>0340</v>
      </c>
      <c r="H670" s="141" t="s">
        <v>2786</v>
      </c>
      <c r="I670" s="141" t="str">
        <f t="shared" si="59"/>
        <v>999</v>
      </c>
      <c r="J670" s="141" t="s">
        <v>4327</v>
      </c>
      <c r="K670" s="141">
        <v>1120</v>
      </c>
      <c r="L670" s="141">
        <v>15</v>
      </c>
      <c r="M670" s="141">
        <v>0</v>
      </c>
      <c r="N670" s="141">
        <v>8000</v>
      </c>
      <c r="O670" s="141" t="s">
        <v>4350</v>
      </c>
      <c r="P670" s="141"/>
    </row>
    <row r="671" spans="1:16" ht="25.5">
      <c r="A671" s="141">
        <v>76807</v>
      </c>
      <c r="B671" s="141" t="s">
        <v>4325</v>
      </c>
      <c r="C671" s="142">
        <v>41201</v>
      </c>
      <c r="D671" s="141">
        <v>409</v>
      </c>
      <c r="E671" s="141" t="str">
        <f t="shared" si="58"/>
        <v>001</v>
      </c>
      <c r="F671" s="141" t="s">
        <v>4326</v>
      </c>
      <c r="G671" s="141" t="str">
        <f>"0341"</f>
        <v>0341</v>
      </c>
      <c r="H671" s="141" t="s">
        <v>1633</v>
      </c>
      <c r="I671" s="141" t="str">
        <f t="shared" si="59"/>
        <v>999</v>
      </c>
      <c r="J671" s="141" t="s">
        <v>4327</v>
      </c>
      <c r="K671" s="141">
        <v>1109</v>
      </c>
      <c r="L671" s="141">
        <v>3</v>
      </c>
      <c r="M671" s="141">
        <v>0</v>
      </c>
      <c r="N671" s="141">
        <v>2000</v>
      </c>
      <c r="O671" s="141" t="s">
        <v>4350</v>
      </c>
      <c r="P671" s="141"/>
    </row>
    <row r="672" spans="1:16" ht="25.5">
      <c r="A672" s="141">
        <v>76807</v>
      </c>
      <c r="B672" s="141" t="s">
        <v>4325</v>
      </c>
      <c r="C672" s="142">
        <v>41201</v>
      </c>
      <c r="D672" s="141">
        <v>409</v>
      </c>
      <c r="E672" s="141" t="str">
        <f t="shared" si="58"/>
        <v>001</v>
      </c>
      <c r="F672" s="141" t="s">
        <v>4326</v>
      </c>
      <c r="G672" s="141" t="str">
        <f>"0341"</f>
        <v>0341</v>
      </c>
      <c r="H672" s="141" t="s">
        <v>1633</v>
      </c>
      <c r="I672" s="141" t="str">
        <f t="shared" si="59"/>
        <v>999</v>
      </c>
      <c r="J672" s="141" t="s">
        <v>4327</v>
      </c>
      <c r="K672" s="141">
        <v>1110</v>
      </c>
      <c r="L672" s="141">
        <v>2</v>
      </c>
      <c r="M672" s="141">
        <v>0</v>
      </c>
      <c r="N672" s="141">
        <v>4000</v>
      </c>
      <c r="O672" s="141" t="s">
        <v>4408</v>
      </c>
      <c r="P672" s="141"/>
    </row>
    <row r="673" spans="1:16" ht="25.5">
      <c r="A673" s="141">
        <v>76807</v>
      </c>
      <c r="B673" s="141" t="s">
        <v>4325</v>
      </c>
      <c r="C673" s="142">
        <v>41201</v>
      </c>
      <c r="D673" s="141">
        <v>409</v>
      </c>
      <c r="E673" s="141" t="str">
        <f t="shared" si="58"/>
        <v>001</v>
      </c>
      <c r="F673" s="141" t="s">
        <v>4326</v>
      </c>
      <c r="G673" s="141" t="str">
        <f>"0341"</f>
        <v>0341</v>
      </c>
      <c r="H673" s="141" t="s">
        <v>1633</v>
      </c>
      <c r="I673" s="141" t="str">
        <f t="shared" si="59"/>
        <v>999</v>
      </c>
      <c r="J673" s="141" t="s">
        <v>4327</v>
      </c>
      <c r="K673" s="141">
        <v>1111</v>
      </c>
      <c r="L673" s="141">
        <v>1</v>
      </c>
      <c r="M673" s="141">
        <v>0</v>
      </c>
      <c r="N673" s="141">
        <v>3000</v>
      </c>
      <c r="O673" s="141" t="s">
        <v>4337</v>
      </c>
      <c r="P673" s="141" t="s">
        <v>4389</v>
      </c>
    </row>
    <row r="674" spans="1:16" ht="25.5">
      <c r="A674" s="141">
        <v>76807</v>
      </c>
      <c r="B674" s="141" t="s">
        <v>4325</v>
      </c>
      <c r="C674" s="142">
        <v>41201</v>
      </c>
      <c r="D674" s="141">
        <v>409</v>
      </c>
      <c r="E674" s="141" t="str">
        <f t="shared" si="58"/>
        <v>001</v>
      </c>
      <c r="F674" s="141" t="s">
        <v>4326</v>
      </c>
      <c r="G674" s="141" t="str">
        <f>"0341"</f>
        <v>0341</v>
      </c>
      <c r="H674" s="141" t="s">
        <v>1633</v>
      </c>
      <c r="I674" s="141" t="str">
        <f t="shared" si="59"/>
        <v>999</v>
      </c>
      <c r="J674" s="141" t="s">
        <v>4327</v>
      </c>
      <c r="K674" s="141">
        <v>1112</v>
      </c>
      <c r="L674" s="141">
        <v>2</v>
      </c>
      <c r="M674" s="141">
        <v>0</v>
      </c>
      <c r="N674" s="141">
        <v>6000</v>
      </c>
      <c r="O674" s="141" t="s">
        <v>4357</v>
      </c>
      <c r="P674" s="141" t="s">
        <v>4385</v>
      </c>
    </row>
    <row r="675" spans="1:16" ht="25.5">
      <c r="A675" s="141">
        <v>76807</v>
      </c>
      <c r="B675" s="141" t="s">
        <v>4325</v>
      </c>
      <c r="C675" s="142">
        <v>41201</v>
      </c>
      <c r="D675" s="141">
        <v>443</v>
      </c>
      <c r="E675" s="141" t="str">
        <f t="shared" si="58"/>
        <v>001</v>
      </c>
      <c r="F675" s="141" t="s">
        <v>4326</v>
      </c>
      <c r="G675" s="141" t="str">
        <f t="shared" ref="G675:G682" si="62">"0342"</f>
        <v>0342</v>
      </c>
      <c r="H675" s="141" t="s">
        <v>968</v>
      </c>
      <c r="I675" s="141" t="str">
        <f t="shared" si="59"/>
        <v>999</v>
      </c>
      <c r="J675" s="141" t="s">
        <v>4327</v>
      </c>
      <c r="K675" s="141">
        <v>1307</v>
      </c>
      <c r="L675" s="141">
        <v>6</v>
      </c>
      <c r="M675" s="141">
        <v>0</v>
      </c>
      <c r="N675" s="141">
        <v>61000</v>
      </c>
      <c r="O675" s="141" t="s">
        <v>4357</v>
      </c>
      <c r="P675" s="141" t="s">
        <v>4414</v>
      </c>
    </row>
    <row r="676" spans="1:16" ht="25.5">
      <c r="A676" s="141">
        <v>76807</v>
      </c>
      <c r="B676" s="141" t="s">
        <v>4325</v>
      </c>
      <c r="C676" s="142">
        <v>41201</v>
      </c>
      <c r="D676" s="141">
        <v>443</v>
      </c>
      <c r="E676" s="141" t="str">
        <f t="shared" si="58"/>
        <v>001</v>
      </c>
      <c r="F676" s="141" t="s">
        <v>4326</v>
      </c>
      <c r="G676" s="141" t="str">
        <f t="shared" si="62"/>
        <v>0342</v>
      </c>
      <c r="H676" s="141" t="s">
        <v>968</v>
      </c>
      <c r="I676" s="141" t="str">
        <f t="shared" si="59"/>
        <v>999</v>
      </c>
      <c r="J676" s="141" t="s">
        <v>4327</v>
      </c>
      <c r="K676" s="141">
        <v>1308</v>
      </c>
      <c r="L676" s="141">
        <v>3</v>
      </c>
      <c r="M676" s="141">
        <v>0</v>
      </c>
      <c r="N676" s="141">
        <v>10000</v>
      </c>
      <c r="O676" s="141" t="s">
        <v>4357</v>
      </c>
      <c r="P676" s="141" t="s">
        <v>4340</v>
      </c>
    </row>
    <row r="677" spans="1:16" ht="25.5">
      <c r="A677" s="141">
        <v>76807</v>
      </c>
      <c r="B677" s="141" t="s">
        <v>4325</v>
      </c>
      <c r="C677" s="142">
        <v>41201</v>
      </c>
      <c r="D677" s="141">
        <v>443</v>
      </c>
      <c r="E677" s="141" t="str">
        <f t="shared" si="58"/>
        <v>001</v>
      </c>
      <c r="F677" s="141" t="s">
        <v>4326</v>
      </c>
      <c r="G677" s="141" t="str">
        <f t="shared" si="62"/>
        <v>0342</v>
      </c>
      <c r="H677" s="141" t="s">
        <v>968</v>
      </c>
      <c r="I677" s="141" t="str">
        <f t="shared" si="59"/>
        <v>999</v>
      </c>
      <c r="J677" s="141" t="s">
        <v>4327</v>
      </c>
      <c r="K677" s="141">
        <v>1309</v>
      </c>
      <c r="L677" s="141">
        <v>2</v>
      </c>
      <c r="M677" s="141">
        <v>0</v>
      </c>
      <c r="N677" s="141">
        <v>12000</v>
      </c>
      <c r="O677" s="141" t="s">
        <v>4357</v>
      </c>
      <c r="P677" s="141" t="s">
        <v>4362</v>
      </c>
    </row>
    <row r="678" spans="1:16" ht="25.5">
      <c r="A678" s="141">
        <v>76807</v>
      </c>
      <c r="B678" s="141" t="s">
        <v>4325</v>
      </c>
      <c r="C678" s="142">
        <v>41201</v>
      </c>
      <c r="D678" s="141">
        <v>443</v>
      </c>
      <c r="E678" s="141" t="str">
        <f t="shared" si="58"/>
        <v>001</v>
      </c>
      <c r="F678" s="141" t="s">
        <v>4326</v>
      </c>
      <c r="G678" s="141" t="str">
        <f t="shared" si="62"/>
        <v>0342</v>
      </c>
      <c r="H678" s="141" t="s">
        <v>968</v>
      </c>
      <c r="I678" s="141" t="str">
        <f t="shared" si="59"/>
        <v>999</v>
      </c>
      <c r="J678" s="141" t="s">
        <v>4327</v>
      </c>
      <c r="K678" s="141">
        <v>1310</v>
      </c>
      <c r="L678" s="141">
        <v>6</v>
      </c>
      <c r="M678" s="141">
        <v>0</v>
      </c>
      <c r="N678" s="141">
        <v>4000</v>
      </c>
      <c r="O678" s="141" t="s">
        <v>4343</v>
      </c>
      <c r="P678" s="141"/>
    </row>
    <row r="679" spans="1:16" ht="25.5">
      <c r="A679" s="141">
        <v>76807</v>
      </c>
      <c r="B679" s="141" t="s">
        <v>4325</v>
      </c>
      <c r="C679" s="142">
        <v>41201</v>
      </c>
      <c r="D679" s="141">
        <v>443</v>
      </c>
      <c r="E679" s="141" t="str">
        <f t="shared" si="58"/>
        <v>001</v>
      </c>
      <c r="F679" s="141" t="s">
        <v>4326</v>
      </c>
      <c r="G679" s="141" t="str">
        <f t="shared" si="62"/>
        <v>0342</v>
      </c>
      <c r="H679" s="141" t="s">
        <v>968</v>
      </c>
      <c r="I679" s="141" t="str">
        <f t="shared" si="59"/>
        <v>999</v>
      </c>
      <c r="J679" s="141" t="s">
        <v>4327</v>
      </c>
      <c r="K679" s="141">
        <v>1311</v>
      </c>
      <c r="L679" s="141">
        <v>7</v>
      </c>
      <c r="M679" s="141">
        <v>0</v>
      </c>
      <c r="N679" s="141">
        <v>4000</v>
      </c>
      <c r="O679" s="141" t="s">
        <v>4350</v>
      </c>
      <c r="P679" s="141"/>
    </row>
    <row r="680" spans="1:16" ht="25.5">
      <c r="A680" s="141">
        <v>76807</v>
      </c>
      <c r="B680" s="141" t="s">
        <v>4325</v>
      </c>
      <c r="C680" s="142">
        <v>41201</v>
      </c>
      <c r="D680" s="141">
        <v>443</v>
      </c>
      <c r="E680" s="141" t="str">
        <f t="shared" si="58"/>
        <v>001</v>
      </c>
      <c r="F680" s="141" t="s">
        <v>4326</v>
      </c>
      <c r="G680" s="141" t="str">
        <f t="shared" si="62"/>
        <v>0342</v>
      </c>
      <c r="H680" s="141" t="s">
        <v>968</v>
      </c>
      <c r="I680" s="141" t="str">
        <f t="shared" si="59"/>
        <v>999</v>
      </c>
      <c r="J680" s="141" t="s">
        <v>4327</v>
      </c>
      <c r="K680" s="141">
        <v>1312</v>
      </c>
      <c r="L680" s="141">
        <v>8</v>
      </c>
      <c r="M680" s="141">
        <v>0</v>
      </c>
      <c r="N680" s="141">
        <v>17000</v>
      </c>
      <c r="O680" s="141" t="s">
        <v>4408</v>
      </c>
      <c r="P680" s="141"/>
    </row>
    <row r="681" spans="1:16" ht="25.5">
      <c r="A681" s="141">
        <v>76807</v>
      </c>
      <c r="B681" s="141" t="s">
        <v>4325</v>
      </c>
      <c r="C681" s="142">
        <v>41201</v>
      </c>
      <c r="D681" s="141">
        <v>443</v>
      </c>
      <c r="E681" s="141" t="str">
        <f t="shared" si="58"/>
        <v>001</v>
      </c>
      <c r="F681" s="141" t="s">
        <v>4326</v>
      </c>
      <c r="G681" s="141" t="str">
        <f t="shared" si="62"/>
        <v>0342</v>
      </c>
      <c r="H681" s="141" t="s">
        <v>968</v>
      </c>
      <c r="I681" s="141" t="str">
        <f t="shared" si="59"/>
        <v>999</v>
      </c>
      <c r="J681" s="141" t="s">
        <v>4327</v>
      </c>
      <c r="K681" s="141">
        <v>1313</v>
      </c>
      <c r="L681" s="141">
        <v>1</v>
      </c>
      <c r="M681" s="141">
        <v>0</v>
      </c>
      <c r="N681" s="141">
        <v>3000</v>
      </c>
      <c r="O681" s="141" t="s">
        <v>4330</v>
      </c>
      <c r="P681" s="141" t="s">
        <v>4331</v>
      </c>
    </row>
    <row r="682" spans="1:16" ht="25.5">
      <c r="A682" s="141">
        <v>76807</v>
      </c>
      <c r="B682" s="141" t="s">
        <v>4325</v>
      </c>
      <c r="C682" s="142">
        <v>41201</v>
      </c>
      <c r="D682" s="141">
        <v>443</v>
      </c>
      <c r="E682" s="141" t="str">
        <f t="shared" si="58"/>
        <v>001</v>
      </c>
      <c r="F682" s="141" t="s">
        <v>4326</v>
      </c>
      <c r="G682" s="141" t="str">
        <f t="shared" si="62"/>
        <v>0342</v>
      </c>
      <c r="H682" s="141" t="s">
        <v>968</v>
      </c>
      <c r="I682" s="141" t="str">
        <f t="shared" si="59"/>
        <v>999</v>
      </c>
      <c r="J682" s="141" t="s">
        <v>4327</v>
      </c>
      <c r="K682" s="141">
        <v>1314</v>
      </c>
      <c r="L682" s="141">
        <v>1</v>
      </c>
      <c r="M682" s="141">
        <v>0</v>
      </c>
      <c r="N682" s="141">
        <v>11000</v>
      </c>
      <c r="O682" s="141" t="s">
        <v>4328</v>
      </c>
      <c r="P682" s="141" t="s">
        <v>4428</v>
      </c>
    </row>
    <row r="683" spans="1:16" ht="25.5">
      <c r="A683" s="141">
        <v>76807</v>
      </c>
      <c r="B683" s="141" t="s">
        <v>4325</v>
      </c>
      <c r="C683" s="142">
        <v>41201</v>
      </c>
      <c r="D683" s="141">
        <v>353</v>
      </c>
      <c r="E683" s="141" t="str">
        <f t="shared" si="58"/>
        <v>001</v>
      </c>
      <c r="F683" s="141" t="s">
        <v>4326</v>
      </c>
      <c r="G683" s="141" t="str">
        <f t="shared" ref="G683:G706" si="63">"0343"</f>
        <v>0343</v>
      </c>
      <c r="H683" s="141" t="s">
        <v>4606</v>
      </c>
      <c r="I683" s="141" t="str">
        <f t="shared" si="59"/>
        <v>999</v>
      </c>
      <c r="J683" s="141" t="s">
        <v>4327</v>
      </c>
      <c r="K683" s="141">
        <v>651</v>
      </c>
      <c r="L683" s="141">
        <v>1</v>
      </c>
      <c r="M683" s="141">
        <v>0</v>
      </c>
      <c r="N683" s="141">
        <v>22000</v>
      </c>
      <c r="O683" s="141" t="s">
        <v>4337</v>
      </c>
      <c r="P683" s="141" t="s">
        <v>4607</v>
      </c>
    </row>
    <row r="684" spans="1:16" ht="25.5">
      <c r="A684" s="141">
        <v>76807</v>
      </c>
      <c r="B684" s="141" t="s">
        <v>4325</v>
      </c>
      <c r="C684" s="142">
        <v>41201</v>
      </c>
      <c r="D684" s="141">
        <v>353</v>
      </c>
      <c r="E684" s="141" t="str">
        <f t="shared" si="58"/>
        <v>001</v>
      </c>
      <c r="F684" s="141" t="s">
        <v>4326</v>
      </c>
      <c r="G684" s="141" t="str">
        <f t="shared" si="63"/>
        <v>0343</v>
      </c>
      <c r="H684" s="141" t="s">
        <v>4606</v>
      </c>
      <c r="I684" s="141" t="str">
        <f t="shared" si="59"/>
        <v>999</v>
      </c>
      <c r="J684" s="141" t="s">
        <v>4327</v>
      </c>
      <c r="K684" s="141">
        <v>652</v>
      </c>
      <c r="L684" s="141">
        <v>1</v>
      </c>
      <c r="M684" s="141">
        <v>0</v>
      </c>
      <c r="N684" s="141">
        <v>10000</v>
      </c>
      <c r="O684" s="141" t="s">
        <v>4388</v>
      </c>
      <c r="P684" s="141" t="s">
        <v>4430</v>
      </c>
    </row>
    <row r="685" spans="1:16" ht="25.5">
      <c r="A685" s="141">
        <v>76807</v>
      </c>
      <c r="B685" s="141" t="s">
        <v>4325</v>
      </c>
      <c r="C685" s="142">
        <v>41201</v>
      </c>
      <c r="D685" s="141">
        <v>353</v>
      </c>
      <c r="E685" s="141" t="str">
        <f t="shared" si="58"/>
        <v>001</v>
      </c>
      <c r="F685" s="141" t="s">
        <v>4326</v>
      </c>
      <c r="G685" s="141" t="str">
        <f t="shared" si="63"/>
        <v>0343</v>
      </c>
      <c r="H685" s="141" t="s">
        <v>4606</v>
      </c>
      <c r="I685" s="141" t="str">
        <f t="shared" si="59"/>
        <v>999</v>
      </c>
      <c r="J685" s="141" t="s">
        <v>4327</v>
      </c>
      <c r="K685" s="141">
        <v>653</v>
      </c>
      <c r="L685" s="141">
        <v>2</v>
      </c>
      <c r="M685" s="141">
        <v>0</v>
      </c>
      <c r="N685" s="141">
        <v>3000</v>
      </c>
      <c r="O685" s="141" t="s">
        <v>4339</v>
      </c>
      <c r="P685" s="141" t="s">
        <v>4363</v>
      </c>
    </row>
    <row r="686" spans="1:16" ht="25.5">
      <c r="A686" s="141">
        <v>76807</v>
      </c>
      <c r="B686" s="141" t="s">
        <v>4325</v>
      </c>
      <c r="C686" s="142">
        <v>41201</v>
      </c>
      <c r="D686" s="141">
        <v>353</v>
      </c>
      <c r="E686" s="141" t="str">
        <f t="shared" si="58"/>
        <v>001</v>
      </c>
      <c r="F686" s="141" t="s">
        <v>4326</v>
      </c>
      <c r="G686" s="141" t="str">
        <f t="shared" si="63"/>
        <v>0343</v>
      </c>
      <c r="H686" s="141" t="s">
        <v>4606</v>
      </c>
      <c r="I686" s="141" t="str">
        <f t="shared" si="59"/>
        <v>999</v>
      </c>
      <c r="J686" s="141" t="s">
        <v>4327</v>
      </c>
      <c r="K686" s="141">
        <v>654</v>
      </c>
      <c r="L686" s="141">
        <v>2</v>
      </c>
      <c r="M686" s="141">
        <v>0</v>
      </c>
      <c r="N686" s="141">
        <v>15000</v>
      </c>
      <c r="O686" s="141" t="s">
        <v>4357</v>
      </c>
      <c r="P686" s="141" t="s">
        <v>4562</v>
      </c>
    </row>
    <row r="687" spans="1:16" ht="25.5">
      <c r="A687" s="141">
        <v>76807</v>
      </c>
      <c r="B687" s="141" t="s">
        <v>4325</v>
      </c>
      <c r="C687" s="142">
        <v>41201</v>
      </c>
      <c r="D687" s="141">
        <v>353</v>
      </c>
      <c r="E687" s="141" t="str">
        <f t="shared" si="58"/>
        <v>001</v>
      </c>
      <c r="F687" s="141" t="s">
        <v>4326</v>
      </c>
      <c r="G687" s="141" t="str">
        <f t="shared" si="63"/>
        <v>0343</v>
      </c>
      <c r="H687" s="141" t="s">
        <v>4606</v>
      </c>
      <c r="I687" s="141" t="str">
        <f t="shared" si="59"/>
        <v>999</v>
      </c>
      <c r="J687" s="141" t="s">
        <v>4327</v>
      </c>
      <c r="K687" s="141">
        <v>655</v>
      </c>
      <c r="L687" s="141">
        <v>4</v>
      </c>
      <c r="M687" s="141">
        <v>0</v>
      </c>
      <c r="N687" s="141">
        <v>36000</v>
      </c>
      <c r="O687" s="141" t="s">
        <v>4357</v>
      </c>
      <c r="P687" s="141" t="s">
        <v>4360</v>
      </c>
    </row>
    <row r="688" spans="1:16" ht="25.5">
      <c r="A688" s="141">
        <v>76807</v>
      </c>
      <c r="B688" s="141" t="s">
        <v>4325</v>
      </c>
      <c r="C688" s="142">
        <v>41201</v>
      </c>
      <c r="D688" s="141">
        <v>353</v>
      </c>
      <c r="E688" s="141" t="str">
        <f t="shared" si="58"/>
        <v>001</v>
      </c>
      <c r="F688" s="141" t="s">
        <v>4326</v>
      </c>
      <c r="G688" s="141" t="str">
        <f t="shared" si="63"/>
        <v>0343</v>
      </c>
      <c r="H688" s="141" t="s">
        <v>4606</v>
      </c>
      <c r="I688" s="141" t="str">
        <f t="shared" si="59"/>
        <v>999</v>
      </c>
      <c r="J688" s="141" t="s">
        <v>4327</v>
      </c>
      <c r="K688" s="141">
        <v>656</v>
      </c>
      <c r="L688" s="141">
        <v>3</v>
      </c>
      <c r="M688" s="141">
        <v>0</v>
      </c>
      <c r="N688" s="141">
        <v>29000</v>
      </c>
      <c r="O688" s="141" t="s">
        <v>4357</v>
      </c>
      <c r="P688" s="141" t="s">
        <v>4608</v>
      </c>
    </row>
    <row r="689" spans="1:16" ht="25.5">
      <c r="A689" s="141">
        <v>76807</v>
      </c>
      <c r="B689" s="141" t="s">
        <v>4325</v>
      </c>
      <c r="C689" s="142">
        <v>41201</v>
      </c>
      <c r="D689" s="141">
        <v>353</v>
      </c>
      <c r="E689" s="141" t="str">
        <f t="shared" si="58"/>
        <v>001</v>
      </c>
      <c r="F689" s="141" t="s">
        <v>4326</v>
      </c>
      <c r="G689" s="141" t="str">
        <f t="shared" si="63"/>
        <v>0343</v>
      </c>
      <c r="H689" s="141" t="s">
        <v>4606</v>
      </c>
      <c r="I689" s="141" t="str">
        <f t="shared" si="59"/>
        <v>999</v>
      </c>
      <c r="J689" s="141" t="s">
        <v>4327</v>
      </c>
      <c r="K689" s="141">
        <v>657</v>
      </c>
      <c r="L689" s="141">
        <v>1</v>
      </c>
      <c r="M689" s="141">
        <v>0</v>
      </c>
      <c r="N689" s="141">
        <v>10000</v>
      </c>
      <c r="O689" s="141" t="s">
        <v>4357</v>
      </c>
      <c r="P689" s="141" t="s">
        <v>4359</v>
      </c>
    </row>
    <row r="690" spans="1:16" ht="25.5">
      <c r="A690" s="141">
        <v>76807</v>
      </c>
      <c r="B690" s="141" t="s">
        <v>4325</v>
      </c>
      <c r="C690" s="142">
        <v>41201</v>
      </c>
      <c r="D690" s="141">
        <v>353</v>
      </c>
      <c r="E690" s="141" t="str">
        <f t="shared" si="58"/>
        <v>001</v>
      </c>
      <c r="F690" s="141" t="s">
        <v>4326</v>
      </c>
      <c r="G690" s="141" t="str">
        <f t="shared" si="63"/>
        <v>0343</v>
      </c>
      <c r="H690" s="141" t="s">
        <v>4606</v>
      </c>
      <c r="I690" s="141" t="str">
        <f t="shared" si="59"/>
        <v>999</v>
      </c>
      <c r="J690" s="141" t="s">
        <v>4327</v>
      </c>
      <c r="K690" s="141">
        <v>658</v>
      </c>
      <c r="L690" s="141">
        <v>1</v>
      </c>
      <c r="M690" s="141">
        <v>0</v>
      </c>
      <c r="N690" s="141">
        <v>97000</v>
      </c>
      <c r="O690" s="141" t="s">
        <v>4368</v>
      </c>
      <c r="P690" s="141"/>
    </row>
    <row r="691" spans="1:16" ht="25.5">
      <c r="A691" s="141">
        <v>76807</v>
      </c>
      <c r="B691" s="141" t="s">
        <v>4325</v>
      </c>
      <c r="C691" s="142">
        <v>41201</v>
      </c>
      <c r="D691" s="141">
        <v>353</v>
      </c>
      <c r="E691" s="141" t="str">
        <f t="shared" si="58"/>
        <v>001</v>
      </c>
      <c r="F691" s="141" t="s">
        <v>4326</v>
      </c>
      <c r="G691" s="141" t="str">
        <f t="shared" si="63"/>
        <v>0343</v>
      </c>
      <c r="H691" s="141" t="s">
        <v>4606</v>
      </c>
      <c r="I691" s="141" t="str">
        <f t="shared" si="59"/>
        <v>999</v>
      </c>
      <c r="J691" s="141" t="s">
        <v>4327</v>
      </c>
      <c r="K691" s="141">
        <v>659</v>
      </c>
      <c r="L691" s="141">
        <v>3</v>
      </c>
      <c r="M691" s="141">
        <v>0</v>
      </c>
      <c r="N691" s="141">
        <v>3000</v>
      </c>
      <c r="O691" s="141" t="s">
        <v>4536</v>
      </c>
      <c r="P691" s="141"/>
    </row>
    <row r="692" spans="1:16" ht="25.5">
      <c r="A692" s="141">
        <v>76807</v>
      </c>
      <c r="B692" s="141" t="s">
        <v>4325</v>
      </c>
      <c r="C692" s="142">
        <v>41201</v>
      </c>
      <c r="D692" s="141">
        <v>353</v>
      </c>
      <c r="E692" s="141" t="str">
        <f t="shared" si="58"/>
        <v>001</v>
      </c>
      <c r="F692" s="141" t="s">
        <v>4326</v>
      </c>
      <c r="G692" s="141" t="str">
        <f t="shared" si="63"/>
        <v>0343</v>
      </c>
      <c r="H692" s="141" t="s">
        <v>4606</v>
      </c>
      <c r="I692" s="141" t="str">
        <f t="shared" si="59"/>
        <v>999</v>
      </c>
      <c r="J692" s="141" t="s">
        <v>4327</v>
      </c>
      <c r="K692" s="141">
        <v>660</v>
      </c>
      <c r="L692" s="141">
        <v>10</v>
      </c>
      <c r="M692" s="141">
        <v>0</v>
      </c>
      <c r="N692" s="141">
        <v>6000</v>
      </c>
      <c r="O692" s="141" t="s">
        <v>4350</v>
      </c>
      <c r="P692" s="141"/>
    </row>
    <row r="693" spans="1:16" ht="25.5">
      <c r="A693" s="141">
        <v>76807</v>
      </c>
      <c r="B693" s="141" t="s">
        <v>4325</v>
      </c>
      <c r="C693" s="142">
        <v>41201</v>
      </c>
      <c r="D693" s="141">
        <v>353</v>
      </c>
      <c r="E693" s="141" t="str">
        <f t="shared" si="58"/>
        <v>001</v>
      </c>
      <c r="F693" s="141" t="s">
        <v>4326</v>
      </c>
      <c r="G693" s="141" t="str">
        <f t="shared" si="63"/>
        <v>0343</v>
      </c>
      <c r="H693" s="141" t="s">
        <v>4606</v>
      </c>
      <c r="I693" s="141" t="str">
        <f t="shared" si="59"/>
        <v>999</v>
      </c>
      <c r="J693" s="141" t="s">
        <v>4327</v>
      </c>
      <c r="K693" s="141">
        <v>661</v>
      </c>
      <c r="L693" s="141">
        <v>1</v>
      </c>
      <c r="M693" s="141">
        <v>0</v>
      </c>
      <c r="N693" s="141">
        <v>8000</v>
      </c>
      <c r="O693" s="141" t="s">
        <v>4369</v>
      </c>
      <c r="P693" s="141" t="s">
        <v>4609</v>
      </c>
    </row>
    <row r="694" spans="1:16" ht="25.5">
      <c r="A694" s="141">
        <v>76807</v>
      </c>
      <c r="B694" s="141" t="s">
        <v>4325</v>
      </c>
      <c r="C694" s="142">
        <v>41201</v>
      </c>
      <c r="D694" s="141">
        <v>353</v>
      </c>
      <c r="E694" s="141" t="str">
        <f t="shared" si="58"/>
        <v>001</v>
      </c>
      <c r="F694" s="141" t="s">
        <v>4326</v>
      </c>
      <c r="G694" s="141" t="str">
        <f t="shared" si="63"/>
        <v>0343</v>
      </c>
      <c r="H694" s="141" t="s">
        <v>4606</v>
      </c>
      <c r="I694" s="141" t="str">
        <f t="shared" si="59"/>
        <v>999</v>
      </c>
      <c r="J694" s="141" t="s">
        <v>4327</v>
      </c>
      <c r="K694" s="141">
        <v>662</v>
      </c>
      <c r="L694" s="141">
        <v>1</v>
      </c>
      <c r="M694" s="141">
        <v>0</v>
      </c>
      <c r="N694" s="141">
        <v>3000</v>
      </c>
      <c r="O694" s="141" t="s">
        <v>4405</v>
      </c>
      <c r="P694" s="141" t="s">
        <v>4372</v>
      </c>
    </row>
    <row r="695" spans="1:16" ht="25.5">
      <c r="A695" s="141">
        <v>76807</v>
      </c>
      <c r="B695" s="141" t="s">
        <v>4325</v>
      </c>
      <c r="C695" s="142">
        <v>41201</v>
      </c>
      <c r="D695" s="141">
        <v>353</v>
      </c>
      <c r="E695" s="141" t="str">
        <f t="shared" si="58"/>
        <v>001</v>
      </c>
      <c r="F695" s="141" t="s">
        <v>4326</v>
      </c>
      <c r="G695" s="141" t="str">
        <f t="shared" si="63"/>
        <v>0343</v>
      </c>
      <c r="H695" s="141" t="s">
        <v>4606</v>
      </c>
      <c r="I695" s="141" t="str">
        <f t="shared" si="59"/>
        <v>999</v>
      </c>
      <c r="J695" s="141" t="s">
        <v>4327</v>
      </c>
      <c r="K695" s="141">
        <v>663</v>
      </c>
      <c r="L695" s="141">
        <v>1</v>
      </c>
      <c r="M695" s="141">
        <v>0</v>
      </c>
      <c r="N695" s="141">
        <v>3000</v>
      </c>
      <c r="O695" s="141" t="s">
        <v>4405</v>
      </c>
      <c r="P695" s="141" t="s">
        <v>4372</v>
      </c>
    </row>
    <row r="696" spans="1:16" ht="25.5">
      <c r="A696" s="141">
        <v>76807</v>
      </c>
      <c r="B696" s="141" t="s">
        <v>4325</v>
      </c>
      <c r="C696" s="142">
        <v>41201</v>
      </c>
      <c r="D696" s="141">
        <v>353</v>
      </c>
      <c r="E696" s="141" t="str">
        <f t="shared" si="58"/>
        <v>001</v>
      </c>
      <c r="F696" s="141" t="s">
        <v>4326</v>
      </c>
      <c r="G696" s="141" t="str">
        <f t="shared" si="63"/>
        <v>0343</v>
      </c>
      <c r="H696" s="141" t="s">
        <v>4606</v>
      </c>
      <c r="I696" s="141" t="str">
        <f t="shared" si="59"/>
        <v>999</v>
      </c>
      <c r="J696" s="141" t="s">
        <v>4327</v>
      </c>
      <c r="K696" s="141">
        <v>664</v>
      </c>
      <c r="L696" s="141">
        <v>1</v>
      </c>
      <c r="M696" s="141">
        <v>0</v>
      </c>
      <c r="N696" s="141">
        <v>1000</v>
      </c>
      <c r="O696" s="141" t="s">
        <v>4344</v>
      </c>
      <c r="P696" s="141"/>
    </row>
    <row r="697" spans="1:16" ht="25.5">
      <c r="A697" s="141">
        <v>76807</v>
      </c>
      <c r="B697" s="141" t="s">
        <v>4325</v>
      </c>
      <c r="C697" s="142">
        <v>41201</v>
      </c>
      <c r="D697" s="141">
        <v>353</v>
      </c>
      <c r="E697" s="141" t="str">
        <f t="shared" si="58"/>
        <v>001</v>
      </c>
      <c r="F697" s="141" t="s">
        <v>4326</v>
      </c>
      <c r="G697" s="141" t="str">
        <f t="shared" si="63"/>
        <v>0343</v>
      </c>
      <c r="H697" s="141" t="s">
        <v>4606</v>
      </c>
      <c r="I697" s="141" t="str">
        <f t="shared" si="59"/>
        <v>999</v>
      </c>
      <c r="J697" s="141" t="s">
        <v>4327</v>
      </c>
      <c r="K697" s="141">
        <v>665</v>
      </c>
      <c r="L697" s="141">
        <v>1</v>
      </c>
      <c r="M697" s="141">
        <v>0</v>
      </c>
      <c r="N697" s="141">
        <v>2000</v>
      </c>
      <c r="O697" s="141" t="s">
        <v>4345</v>
      </c>
      <c r="P697" s="141"/>
    </row>
    <row r="698" spans="1:16" ht="25.5">
      <c r="A698" s="141">
        <v>76807</v>
      </c>
      <c r="B698" s="141" t="s">
        <v>4325</v>
      </c>
      <c r="C698" s="142">
        <v>41201</v>
      </c>
      <c r="D698" s="141">
        <v>353</v>
      </c>
      <c r="E698" s="141" t="str">
        <f t="shared" si="58"/>
        <v>001</v>
      </c>
      <c r="F698" s="141" t="s">
        <v>4326</v>
      </c>
      <c r="G698" s="141" t="str">
        <f t="shared" si="63"/>
        <v>0343</v>
      </c>
      <c r="H698" s="141" t="s">
        <v>4606</v>
      </c>
      <c r="I698" s="141" t="str">
        <f t="shared" si="59"/>
        <v>999</v>
      </c>
      <c r="J698" s="141" t="s">
        <v>4327</v>
      </c>
      <c r="K698" s="141">
        <v>666</v>
      </c>
      <c r="L698" s="141">
        <v>3</v>
      </c>
      <c r="M698" s="141">
        <v>0</v>
      </c>
      <c r="N698" s="141">
        <v>7000</v>
      </c>
      <c r="O698" s="141" t="s">
        <v>4347</v>
      </c>
      <c r="P698" s="141"/>
    </row>
    <row r="699" spans="1:16" ht="25.5">
      <c r="A699" s="141">
        <v>76807</v>
      </c>
      <c r="B699" s="141" t="s">
        <v>4325</v>
      </c>
      <c r="C699" s="142">
        <v>41201</v>
      </c>
      <c r="D699" s="141">
        <v>353</v>
      </c>
      <c r="E699" s="141" t="str">
        <f t="shared" si="58"/>
        <v>001</v>
      </c>
      <c r="F699" s="141" t="s">
        <v>4326</v>
      </c>
      <c r="G699" s="141" t="str">
        <f t="shared" si="63"/>
        <v>0343</v>
      </c>
      <c r="H699" s="141" t="s">
        <v>4606</v>
      </c>
      <c r="I699" s="141" t="str">
        <f t="shared" si="59"/>
        <v>999</v>
      </c>
      <c r="J699" s="141" t="s">
        <v>4327</v>
      </c>
      <c r="K699" s="141">
        <v>667</v>
      </c>
      <c r="L699" s="141">
        <v>1</v>
      </c>
      <c r="M699" s="141">
        <v>0</v>
      </c>
      <c r="N699" s="141">
        <v>4000</v>
      </c>
      <c r="O699" s="141" t="s">
        <v>4406</v>
      </c>
      <c r="P699" s="141"/>
    </row>
    <row r="700" spans="1:16" ht="25.5">
      <c r="A700" s="141">
        <v>76807</v>
      </c>
      <c r="B700" s="141" t="s">
        <v>4325</v>
      </c>
      <c r="C700" s="142">
        <v>41201</v>
      </c>
      <c r="D700" s="141">
        <v>353</v>
      </c>
      <c r="E700" s="141" t="str">
        <f t="shared" si="58"/>
        <v>001</v>
      </c>
      <c r="F700" s="141" t="s">
        <v>4326</v>
      </c>
      <c r="G700" s="141" t="str">
        <f t="shared" si="63"/>
        <v>0343</v>
      </c>
      <c r="H700" s="141" t="s">
        <v>4606</v>
      </c>
      <c r="I700" s="141" t="str">
        <f t="shared" si="59"/>
        <v>999</v>
      </c>
      <c r="J700" s="141" t="s">
        <v>4327</v>
      </c>
      <c r="K700" s="141">
        <v>668</v>
      </c>
      <c r="L700" s="141">
        <v>1</v>
      </c>
      <c r="M700" s="141">
        <v>0</v>
      </c>
      <c r="N700" s="141">
        <v>1000</v>
      </c>
      <c r="O700" s="141" t="s">
        <v>4381</v>
      </c>
      <c r="P700" s="141"/>
    </row>
    <row r="701" spans="1:16" ht="25.5">
      <c r="A701" s="141">
        <v>76807</v>
      </c>
      <c r="B701" s="141" t="s">
        <v>4325</v>
      </c>
      <c r="C701" s="142">
        <v>41201</v>
      </c>
      <c r="D701" s="141">
        <v>353</v>
      </c>
      <c r="E701" s="141" t="str">
        <f t="shared" si="58"/>
        <v>001</v>
      </c>
      <c r="F701" s="141" t="s">
        <v>4326</v>
      </c>
      <c r="G701" s="141" t="str">
        <f t="shared" si="63"/>
        <v>0343</v>
      </c>
      <c r="H701" s="141" t="s">
        <v>4606</v>
      </c>
      <c r="I701" s="141" t="str">
        <f t="shared" si="59"/>
        <v>999</v>
      </c>
      <c r="J701" s="141" t="s">
        <v>4327</v>
      </c>
      <c r="K701" s="141">
        <v>669</v>
      </c>
      <c r="L701" s="141">
        <v>1</v>
      </c>
      <c r="M701" s="141">
        <v>0</v>
      </c>
      <c r="N701" s="141">
        <v>2000</v>
      </c>
      <c r="O701" s="141" t="s">
        <v>4610</v>
      </c>
      <c r="P701" s="141" t="s">
        <v>4355</v>
      </c>
    </row>
    <row r="702" spans="1:16" ht="25.5">
      <c r="A702" s="141">
        <v>76807</v>
      </c>
      <c r="B702" s="141" t="s">
        <v>4325</v>
      </c>
      <c r="C702" s="142">
        <v>41201</v>
      </c>
      <c r="D702" s="141">
        <v>353</v>
      </c>
      <c r="E702" s="141" t="str">
        <f t="shared" si="58"/>
        <v>001</v>
      </c>
      <c r="F702" s="141" t="s">
        <v>4326</v>
      </c>
      <c r="G702" s="141" t="str">
        <f t="shared" si="63"/>
        <v>0343</v>
      </c>
      <c r="H702" s="141" t="s">
        <v>4606</v>
      </c>
      <c r="I702" s="141" t="str">
        <f t="shared" si="59"/>
        <v>999</v>
      </c>
      <c r="J702" s="141" t="s">
        <v>4327</v>
      </c>
      <c r="K702" s="141">
        <v>670</v>
      </c>
      <c r="L702" s="141">
        <v>1</v>
      </c>
      <c r="M702" s="141">
        <v>0</v>
      </c>
      <c r="N702" s="141">
        <v>14000</v>
      </c>
      <c r="O702" s="141" t="s">
        <v>4388</v>
      </c>
      <c r="P702" s="141" t="s">
        <v>4336</v>
      </c>
    </row>
    <row r="703" spans="1:16" ht="25.5">
      <c r="A703" s="141">
        <v>76807</v>
      </c>
      <c r="B703" s="141" t="s">
        <v>4325</v>
      </c>
      <c r="C703" s="142">
        <v>41201</v>
      </c>
      <c r="D703" s="141">
        <v>353</v>
      </c>
      <c r="E703" s="141" t="str">
        <f t="shared" si="58"/>
        <v>001</v>
      </c>
      <c r="F703" s="141" t="s">
        <v>4326</v>
      </c>
      <c r="G703" s="141" t="str">
        <f t="shared" si="63"/>
        <v>0343</v>
      </c>
      <c r="H703" s="141" t="s">
        <v>4606</v>
      </c>
      <c r="I703" s="141" t="str">
        <f t="shared" si="59"/>
        <v>999</v>
      </c>
      <c r="J703" s="141" t="s">
        <v>4327</v>
      </c>
      <c r="K703" s="141">
        <v>671</v>
      </c>
      <c r="L703" s="141">
        <v>3</v>
      </c>
      <c r="M703" s="141">
        <v>0</v>
      </c>
      <c r="N703" s="141">
        <v>7000</v>
      </c>
      <c r="O703" s="141" t="s">
        <v>4409</v>
      </c>
      <c r="P703" s="141" t="s">
        <v>4335</v>
      </c>
    </row>
    <row r="704" spans="1:16" ht="25.5">
      <c r="A704" s="141">
        <v>76807</v>
      </c>
      <c r="B704" s="141" t="s">
        <v>4325</v>
      </c>
      <c r="C704" s="142">
        <v>41201</v>
      </c>
      <c r="D704" s="141">
        <v>353</v>
      </c>
      <c r="E704" s="141" t="str">
        <f t="shared" si="58"/>
        <v>001</v>
      </c>
      <c r="F704" s="141" t="s">
        <v>4326</v>
      </c>
      <c r="G704" s="141" t="str">
        <f t="shared" si="63"/>
        <v>0343</v>
      </c>
      <c r="H704" s="141" t="s">
        <v>4606</v>
      </c>
      <c r="I704" s="141" t="str">
        <f t="shared" si="59"/>
        <v>999</v>
      </c>
      <c r="J704" s="141" t="s">
        <v>4327</v>
      </c>
      <c r="K704" s="141">
        <v>672</v>
      </c>
      <c r="L704" s="141">
        <v>1</v>
      </c>
      <c r="M704" s="141">
        <v>0</v>
      </c>
      <c r="N704" s="141">
        <v>3000</v>
      </c>
      <c r="O704" s="141" t="s">
        <v>4397</v>
      </c>
      <c r="P704" s="141" t="s">
        <v>4354</v>
      </c>
    </row>
    <row r="705" spans="1:16" ht="25.5">
      <c r="A705" s="141">
        <v>76807</v>
      </c>
      <c r="B705" s="141" t="s">
        <v>4325</v>
      </c>
      <c r="C705" s="142">
        <v>41201</v>
      </c>
      <c r="D705" s="141">
        <v>353</v>
      </c>
      <c r="E705" s="141" t="str">
        <f t="shared" si="58"/>
        <v>001</v>
      </c>
      <c r="F705" s="141" t="s">
        <v>4326</v>
      </c>
      <c r="G705" s="141" t="str">
        <f t="shared" si="63"/>
        <v>0343</v>
      </c>
      <c r="H705" s="141" t="s">
        <v>4606</v>
      </c>
      <c r="I705" s="141" t="str">
        <f t="shared" si="59"/>
        <v>999</v>
      </c>
      <c r="J705" s="141" t="s">
        <v>4327</v>
      </c>
      <c r="K705" s="141">
        <v>673</v>
      </c>
      <c r="L705" s="141">
        <v>1</v>
      </c>
      <c r="M705" s="141">
        <v>0</v>
      </c>
      <c r="N705" s="141">
        <v>4000</v>
      </c>
      <c r="O705" s="141" t="s">
        <v>4397</v>
      </c>
      <c r="P705" s="141" t="s">
        <v>4467</v>
      </c>
    </row>
    <row r="706" spans="1:16" ht="25.5">
      <c r="A706" s="141">
        <v>76807</v>
      </c>
      <c r="B706" s="141" t="s">
        <v>4325</v>
      </c>
      <c r="C706" s="142">
        <v>41201</v>
      </c>
      <c r="D706" s="141">
        <v>353</v>
      </c>
      <c r="E706" s="141" t="str">
        <f t="shared" ref="E706:E769" si="64">"001"</f>
        <v>001</v>
      </c>
      <c r="F706" s="141" t="s">
        <v>4326</v>
      </c>
      <c r="G706" s="141" t="str">
        <f t="shared" si="63"/>
        <v>0343</v>
      </c>
      <c r="H706" s="141" t="s">
        <v>4606</v>
      </c>
      <c r="I706" s="141" t="str">
        <f t="shared" ref="I706:I769" si="65">"999"</f>
        <v>999</v>
      </c>
      <c r="J706" s="141" t="s">
        <v>4327</v>
      </c>
      <c r="K706" s="141">
        <v>674</v>
      </c>
      <c r="L706" s="141">
        <v>1</v>
      </c>
      <c r="M706" s="141">
        <v>0</v>
      </c>
      <c r="N706" s="141">
        <v>3000</v>
      </c>
      <c r="O706" s="141" t="s">
        <v>4397</v>
      </c>
      <c r="P706" s="141" t="s">
        <v>4365</v>
      </c>
    </row>
    <row r="707" spans="1:16" ht="25.5">
      <c r="A707" s="141">
        <v>76807</v>
      </c>
      <c r="B707" s="141" t="s">
        <v>4325</v>
      </c>
      <c r="C707" s="142">
        <v>41201</v>
      </c>
      <c r="D707" s="141">
        <v>401</v>
      </c>
      <c r="E707" s="141" t="str">
        <f t="shared" si="64"/>
        <v>001</v>
      </c>
      <c r="F707" s="141" t="s">
        <v>4326</v>
      </c>
      <c r="G707" s="141" t="str">
        <f t="shared" ref="G707:G715" si="66">"0344"</f>
        <v>0344</v>
      </c>
      <c r="H707" s="141" t="s">
        <v>740</v>
      </c>
      <c r="I707" s="141" t="str">
        <f t="shared" si="65"/>
        <v>999</v>
      </c>
      <c r="J707" s="141" t="s">
        <v>4327</v>
      </c>
      <c r="K707" s="141">
        <v>1069</v>
      </c>
      <c r="L707" s="141">
        <v>2</v>
      </c>
      <c r="M707" s="141">
        <v>0</v>
      </c>
      <c r="N707" s="141">
        <v>4000</v>
      </c>
      <c r="O707" s="141" t="s">
        <v>4408</v>
      </c>
      <c r="P707" s="141"/>
    </row>
    <row r="708" spans="1:16" ht="25.5">
      <c r="A708" s="141">
        <v>76807</v>
      </c>
      <c r="B708" s="141" t="s">
        <v>4325</v>
      </c>
      <c r="C708" s="142">
        <v>41201</v>
      </c>
      <c r="D708" s="141">
        <v>401</v>
      </c>
      <c r="E708" s="141" t="str">
        <f t="shared" si="64"/>
        <v>001</v>
      </c>
      <c r="F708" s="141" t="s">
        <v>4326</v>
      </c>
      <c r="G708" s="141" t="str">
        <f t="shared" si="66"/>
        <v>0344</v>
      </c>
      <c r="H708" s="141" t="s">
        <v>740</v>
      </c>
      <c r="I708" s="141" t="str">
        <f t="shared" si="65"/>
        <v>999</v>
      </c>
      <c r="J708" s="141" t="s">
        <v>4327</v>
      </c>
      <c r="K708" s="141">
        <v>1070</v>
      </c>
      <c r="L708" s="141">
        <v>4</v>
      </c>
      <c r="M708" s="141">
        <v>0</v>
      </c>
      <c r="N708" s="141">
        <v>9000</v>
      </c>
      <c r="O708" s="141" t="s">
        <v>4408</v>
      </c>
      <c r="P708" s="141"/>
    </row>
    <row r="709" spans="1:16" ht="25.5">
      <c r="A709" s="141">
        <v>76807</v>
      </c>
      <c r="B709" s="141" t="s">
        <v>4325</v>
      </c>
      <c r="C709" s="142">
        <v>41201</v>
      </c>
      <c r="D709" s="141">
        <v>401</v>
      </c>
      <c r="E709" s="141" t="str">
        <f t="shared" si="64"/>
        <v>001</v>
      </c>
      <c r="F709" s="141" t="s">
        <v>4326</v>
      </c>
      <c r="G709" s="141" t="str">
        <f t="shared" si="66"/>
        <v>0344</v>
      </c>
      <c r="H709" s="141" t="s">
        <v>740</v>
      </c>
      <c r="I709" s="141" t="str">
        <f t="shared" si="65"/>
        <v>999</v>
      </c>
      <c r="J709" s="141" t="s">
        <v>4327</v>
      </c>
      <c r="K709" s="141">
        <v>1071</v>
      </c>
      <c r="L709" s="141">
        <v>2</v>
      </c>
      <c r="M709" s="141">
        <v>0</v>
      </c>
      <c r="N709" s="141">
        <v>13000</v>
      </c>
      <c r="O709" s="141" t="s">
        <v>4407</v>
      </c>
      <c r="P709" s="141"/>
    </row>
    <row r="710" spans="1:16" ht="25.5">
      <c r="A710" s="141">
        <v>76807</v>
      </c>
      <c r="B710" s="141" t="s">
        <v>4325</v>
      </c>
      <c r="C710" s="142">
        <v>41201</v>
      </c>
      <c r="D710" s="141">
        <v>401</v>
      </c>
      <c r="E710" s="141" t="str">
        <f t="shared" si="64"/>
        <v>001</v>
      </c>
      <c r="F710" s="141" t="s">
        <v>4326</v>
      </c>
      <c r="G710" s="141" t="str">
        <f t="shared" si="66"/>
        <v>0344</v>
      </c>
      <c r="H710" s="141" t="s">
        <v>740</v>
      </c>
      <c r="I710" s="141" t="str">
        <f t="shared" si="65"/>
        <v>999</v>
      </c>
      <c r="J710" s="141" t="s">
        <v>4327</v>
      </c>
      <c r="K710" s="141">
        <v>1072</v>
      </c>
      <c r="L710" s="141">
        <v>1</v>
      </c>
      <c r="M710" s="141">
        <v>0</v>
      </c>
      <c r="N710" s="141">
        <v>112000</v>
      </c>
      <c r="O710" s="141" t="s">
        <v>4366</v>
      </c>
      <c r="P710" s="141" t="s">
        <v>4367</v>
      </c>
    </row>
    <row r="711" spans="1:16" ht="25.5">
      <c r="A711" s="141">
        <v>76807</v>
      </c>
      <c r="B711" s="141" t="s">
        <v>4325</v>
      </c>
      <c r="C711" s="142">
        <v>41201</v>
      </c>
      <c r="D711" s="141">
        <v>401</v>
      </c>
      <c r="E711" s="141" t="str">
        <f t="shared" si="64"/>
        <v>001</v>
      </c>
      <c r="F711" s="141" t="s">
        <v>4326</v>
      </c>
      <c r="G711" s="141" t="str">
        <f t="shared" si="66"/>
        <v>0344</v>
      </c>
      <c r="H711" s="141" t="s">
        <v>740</v>
      </c>
      <c r="I711" s="141" t="str">
        <f t="shared" si="65"/>
        <v>999</v>
      </c>
      <c r="J711" s="141" t="s">
        <v>4327</v>
      </c>
      <c r="K711" s="141">
        <v>1073</v>
      </c>
      <c r="L711" s="141">
        <v>8</v>
      </c>
      <c r="M711" s="141">
        <v>0</v>
      </c>
      <c r="N711" s="141">
        <v>138000</v>
      </c>
      <c r="O711" s="141" t="s">
        <v>4357</v>
      </c>
      <c r="P711" s="141" t="s">
        <v>4611</v>
      </c>
    </row>
    <row r="712" spans="1:16" ht="25.5">
      <c r="A712" s="141">
        <v>76807</v>
      </c>
      <c r="B712" s="141" t="s">
        <v>4325</v>
      </c>
      <c r="C712" s="142">
        <v>41201</v>
      </c>
      <c r="D712" s="141">
        <v>401</v>
      </c>
      <c r="E712" s="141" t="str">
        <f t="shared" si="64"/>
        <v>001</v>
      </c>
      <c r="F712" s="141" t="s">
        <v>4326</v>
      </c>
      <c r="G712" s="141" t="str">
        <f t="shared" si="66"/>
        <v>0344</v>
      </c>
      <c r="H712" s="141" t="s">
        <v>740</v>
      </c>
      <c r="I712" s="141" t="str">
        <f t="shared" si="65"/>
        <v>999</v>
      </c>
      <c r="J712" s="141" t="s">
        <v>4327</v>
      </c>
      <c r="K712" s="141">
        <v>1074</v>
      </c>
      <c r="L712" s="141">
        <v>8</v>
      </c>
      <c r="M712" s="141">
        <v>0</v>
      </c>
      <c r="N712" s="141">
        <v>73000</v>
      </c>
      <c r="O712" s="141" t="s">
        <v>4357</v>
      </c>
      <c r="P712" s="141" t="s">
        <v>4597</v>
      </c>
    </row>
    <row r="713" spans="1:16" ht="25.5">
      <c r="A713" s="141">
        <v>76807</v>
      </c>
      <c r="B713" s="141" t="s">
        <v>4325</v>
      </c>
      <c r="C713" s="142">
        <v>41201</v>
      </c>
      <c r="D713" s="141">
        <v>401</v>
      </c>
      <c r="E713" s="141" t="str">
        <f t="shared" si="64"/>
        <v>001</v>
      </c>
      <c r="F713" s="141" t="s">
        <v>4326</v>
      </c>
      <c r="G713" s="141" t="str">
        <f t="shared" si="66"/>
        <v>0344</v>
      </c>
      <c r="H713" s="141" t="s">
        <v>740</v>
      </c>
      <c r="I713" s="141" t="str">
        <f t="shared" si="65"/>
        <v>999</v>
      </c>
      <c r="J713" s="141" t="s">
        <v>4327</v>
      </c>
      <c r="K713" s="141">
        <v>1075</v>
      </c>
      <c r="L713" s="141">
        <v>1</v>
      </c>
      <c r="M713" s="141">
        <v>0</v>
      </c>
      <c r="N713" s="141">
        <v>31000</v>
      </c>
      <c r="O713" s="141" t="s">
        <v>4337</v>
      </c>
      <c r="P713" s="141" t="s">
        <v>4612</v>
      </c>
    </row>
    <row r="714" spans="1:16" ht="25.5">
      <c r="A714" s="141">
        <v>76807</v>
      </c>
      <c r="B714" s="141" t="s">
        <v>4325</v>
      </c>
      <c r="C714" s="142">
        <v>41201</v>
      </c>
      <c r="D714" s="141">
        <v>401</v>
      </c>
      <c r="E714" s="141" t="str">
        <f t="shared" si="64"/>
        <v>001</v>
      </c>
      <c r="F714" s="141" t="s">
        <v>4326</v>
      </c>
      <c r="G714" s="141" t="str">
        <f t="shared" si="66"/>
        <v>0344</v>
      </c>
      <c r="H714" s="141" t="s">
        <v>740</v>
      </c>
      <c r="I714" s="141" t="str">
        <f t="shared" si="65"/>
        <v>999</v>
      </c>
      <c r="J714" s="141" t="s">
        <v>4327</v>
      </c>
      <c r="K714" s="141">
        <v>1076</v>
      </c>
      <c r="L714" s="141">
        <v>4</v>
      </c>
      <c r="M714" s="141">
        <v>0</v>
      </c>
      <c r="N714" s="141">
        <v>2000</v>
      </c>
      <c r="O714" s="141" t="s">
        <v>4350</v>
      </c>
      <c r="P714" s="141"/>
    </row>
    <row r="715" spans="1:16" ht="25.5">
      <c r="A715" s="141">
        <v>76807</v>
      </c>
      <c r="B715" s="141" t="s">
        <v>4325</v>
      </c>
      <c r="C715" s="142">
        <v>41201</v>
      </c>
      <c r="D715" s="141">
        <v>401</v>
      </c>
      <c r="E715" s="141" t="str">
        <f t="shared" si="64"/>
        <v>001</v>
      </c>
      <c r="F715" s="141" t="s">
        <v>4326</v>
      </c>
      <c r="G715" s="141" t="str">
        <f t="shared" si="66"/>
        <v>0344</v>
      </c>
      <c r="H715" s="141" t="s">
        <v>740</v>
      </c>
      <c r="I715" s="141" t="str">
        <f t="shared" si="65"/>
        <v>999</v>
      </c>
      <c r="J715" s="141" t="s">
        <v>4327</v>
      </c>
      <c r="K715" s="141">
        <v>1077</v>
      </c>
      <c r="L715" s="141">
        <v>4</v>
      </c>
      <c r="M715" s="141">
        <v>0</v>
      </c>
      <c r="N715" s="141">
        <v>2000</v>
      </c>
      <c r="O715" s="141" t="s">
        <v>4350</v>
      </c>
      <c r="P715" s="141"/>
    </row>
    <row r="716" spans="1:16" ht="25.5">
      <c r="A716" s="141">
        <v>76807</v>
      </c>
      <c r="B716" s="141" t="s">
        <v>4325</v>
      </c>
      <c r="C716" s="142">
        <v>41201</v>
      </c>
      <c r="D716" s="141">
        <v>759</v>
      </c>
      <c r="E716" s="141" t="str">
        <f t="shared" si="64"/>
        <v>001</v>
      </c>
      <c r="F716" s="141" t="s">
        <v>4326</v>
      </c>
      <c r="G716" s="141" t="str">
        <f t="shared" ref="G716:G736" si="67">"0345"</f>
        <v>0345</v>
      </c>
      <c r="H716" s="141" t="s">
        <v>3241</v>
      </c>
      <c r="I716" s="141" t="str">
        <f t="shared" si="65"/>
        <v>999</v>
      </c>
      <c r="J716" s="141" t="s">
        <v>4327</v>
      </c>
      <c r="K716" s="141">
        <v>2696</v>
      </c>
      <c r="L716" s="141">
        <v>1</v>
      </c>
      <c r="M716" s="141">
        <v>0</v>
      </c>
      <c r="N716" s="141">
        <v>21000</v>
      </c>
      <c r="O716" s="141" t="s">
        <v>4373</v>
      </c>
      <c r="P716" s="141" t="s">
        <v>4590</v>
      </c>
    </row>
    <row r="717" spans="1:16" ht="25.5">
      <c r="A717" s="141">
        <v>76807</v>
      </c>
      <c r="B717" s="141" t="s">
        <v>4325</v>
      </c>
      <c r="C717" s="142">
        <v>41201</v>
      </c>
      <c r="D717" s="141">
        <v>759</v>
      </c>
      <c r="E717" s="141" t="str">
        <f t="shared" si="64"/>
        <v>001</v>
      </c>
      <c r="F717" s="141" t="s">
        <v>4326</v>
      </c>
      <c r="G717" s="141" t="str">
        <f t="shared" si="67"/>
        <v>0345</v>
      </c>
      <c r="H717" s="141" t="s">
        <v>3241</v>
      </c>
      <c r="I717" s="141" t="str">
        <f t="shared" si="65"/>
        <v>999</v>
      </c>
      <c r="J717" s="141" t="s">
        <v>4327</v>
      </c>
      <c r="K717" s="141">
        <v>2697</v>
      </c>
      <c r="L717" s="141">
        <v>10</v>
      </c>
      <c r="M717" s="141">
        <v>0</v>
      </c>
      <c r="N717" s="141">
        <v>16000</v>
      </c>
      <c r="O717" s="141" t="s">
        <v>4339</v>
      </c>
      <c r="P717" s="141" t="s">
        <v>4363</v>
      </c>
    </row>
    <row r="718" spans="1:16" ht="25.5">
      <c r="A718" s="141">
        <v>76807</v>
      </c>
      <c r="B718" s="141" t="s">
        <v>4325</v>
      </c>
      <c r="C718" s="142">
        <v>41201</v>
      </c>
      <c r="D718" s="141">
        <v>759</v>
      </c>
      <c r="E718" s="141" t="str">
        <f t="shared" si="64"/>
        <v>001</v>
      </c>
      <c r="F718" s="141" t="s">
        <v>4326</v>
      </c>
      <c r="G718" s="141" t="str">
        <f t="shared" si="67"/>
        <v>0345</v>
      </c>
      <c r="H718" s="141" t="s">
        <v>3241</v>
      </c>
      <c r="I718" s="141" t="str">
        <f t="shared" si="65"/>
        <v>999</v>
      </c>
      <c r="J718" s="141" t="s">
        <v>4327</v>
      </c>
      <c r="K718" s="141">
        <v>2698</v>
      </c>
      <c r="L718" s="141">
        <v>1</v>
      </c>
      <c r="M718" s="141">
        <v>0</v>
      </c>
      <c r="N718" s="141">
        <v>2000</v>
      </c>
      <c r="O718" s="141" t="s">
        <v>4330</v>
      </c>
      <c r="P718" s="141" t="s">
        <v>4356</v>
      </c>
    </row>
    <row r="719" spans="1:16" ht="25.5">
      <c r="A719" s="141">
        <v>76807</v>
      </c>
      <c r="B719" s="141" t="s">
        <v>4325</v>
      </c>
      <c r="C719" s="142">
        <v>41201</v>
      </c>
      <c r="D719" s="141">
        <v>759</v>
      </c>
      <c r="E719" s="141" t="str">
        <f t="shared" si="64"/>
        <v>001</v>
      </c>
      <c r="F719" s="141" t="s">
        <v>4326</v>
      </c>
      <c r="G719" s="141" t="str">
        <f t="shared" si="67"/>
        <v>0345</v>
      </c>
      <c r="H719" s="141" t="s">
        <v>3241</v>
      </c>
      <c r="I719" s="141" t="str">
        <f t="shared" si="65"/>
        <v>999</v>
      </c>
      <c r="J719" s="141" t="s">
        <v>4327</v>
      </c>
      <c r="K719" s="141">
        <v>2699</v>
      </c>
      <c r="L719" s="141">
        <v>1</v>
      </c>
      <c r="M719" s="141">
        <v>0</v>
      </c>
      <c r="N719" s="141">
        <v>2000</v>
      </c>
      <c r="O719" s="141" t="s">
        <v>4330</v>
      </c>
      <c r="P719" s="141" t="s">
        <v>4356</v>
      </c>
    </row>
    <row r="720" spans="1:16" ht="25.5">
      <c r="A720" s="141">
        <v>76807</v>
      </c>
      <c r="B720" s="141" t="s">
        <v>4325</v>
      </c>
      <c r="C720" s="142">
        <v>41201</v>
      </c>
      <c r="D720" s="141">
        <v>759</v>
      </c>
      <c r="E720" s="141" t="str">
        <f t="shared" si="64"/>
        <v>001</v>
      </c>
      <c r="F720" s="141" t="s">
        <v>4326</v>
      </c>
      <c r="G720" s="141" t="str">
        <f t="shared" si="67"/>
        <v>0345</v>
      </c>
      <c r="H720" s="141" t="s">
        <v>3241</v>
      </c>
      <c r="I720" s="141" t="str">
        <f t="shared" si="65"/>
        <v>999</v>
      </c>
      <c r="J720" s="141" t="s">
        <v>4327</v>
      </c>
      <c r="K720" s="141">
        <v>2700</v>
      </c>
      <c r="L720" s="141">
        <v>1</v>
      </c>
      <c r="M720" s="141">
        <v>0</v>
      </c>
      <c r="N720" s="141">
        <v>10000</v>
      </c>
      <c r="O720" s="141" t="s">
        <v>4431</v>
      </c>
      <c r="P720" s="141" t="s">
        <v>4613</v>
      </c>
    </row>
    <row r="721" spans="1:16" ht="25.5">
      <c r="A721" s="141">
        <v>76807</v>
      </c>
      <c r="B721" s="141" t="s">
        <v>4325</v>
      </c>
      <c r="C721" s="142">
        <v>41201</v>
      </c>
      <c r="D721" s="141">
        <v>759</v>
      </c>
      <c r="E721" s="141" t="str">
        <f t="shared" si="64"/>
        <v>001</v>
      </c>
      <c r="F721" s="141" t="s">
        <v>4326</v>
      </c>
      <c r="G721" s="141" t="str">
        <f t="shared" si="67"/>
        <v>0345</v>
      </c>
      <c r="H721" s="141" t="s">
        <v>3241</v>
      </c>
      <c r="I721" s="141" t="str">
        <f t="shared" si="65"/>
        <v>999</v>
      </c>
      <c r="J721" s="141" t="s">
        <v>4327</v>
      </c>
      <c r="K721" s="141">
        <v>2701</v>
      </c>
      <c r="L721" s="141">
        <v>5</v>
      </c>
      <c r="M721" s="141">
        <v>0</v>
      </c>
      <c r="N721" s="141">
        <v>9000</v>
      </c>
      <c r="O721" s="141" t="s">
        <v>4592</v>
      </c>
      <c r="P721" s="141"/>
    </row>
    <row r="722" spans="1:16" ht="25.5">
      <c r="A722" s="141">
        <v>76807</v>
      </c>
      <c r="B722" s="141" t="s">
        <v>4325</v>
      </c>
      <c r="C722" s="142">
        <v>41201</v>
      </c>
      <c r="D722" s="141">
        <v>759</v>
      </c>
      <c r="E722" s="141" t="str">
        <f t="shared" si="64"/>
        <v>001</v>
      </c>
      <c r="F722" s="141" t="s">
        <v>4326</v>
      </c>
      <c r="G722" s="141" t="str">
        <f t="shared" si="67"/>
        <v>0345</v>
      </c>
      <c r="H722" s="141" t="s">
        <v>3241</v>
      </c>
      <c r="I722" s="141" t="str">
        <f t="shared" si="65"/>
        <v>999</v>
      </c>
      <c r="J722" s="141" t="s">
        <v>4327</v>
      </c>
      <c r="K722" s="141">
        <v>2702</v>
      </c>
      <c r="L722" s="141">
        <v>1</v>
      </c>
      <c r="M722" s="141">
        <v>0</v>
      </c>
      <c r="N722" s="141">
        <v>28000</v>
      </c>
      <c r="O722" s="141" t="s">
        <v>4399</v>
      </c>
      <c r="P722" s="141" t="s">
        <v>4614</v>
      </c>
    </row>
    <row r="723" spans="1:16" ht="25.5">
      <c r="A723" s="141">
        <v>76807</v>
      </c>
      <c r="B723" s="141" t="s">
        <v>4325</v>
      </c>
      <c r="C723" s="142">
        <v>41201</v>
      </c>
      <c r="D723" s="141">
        <v>759</v>
      </c>
      <c r="E723" s="141" t="str">
        <f t="shared" si="64"/>
        <v>001</v>
      </c>
      <c r="F723" s="141" t="s">
        <v>4326</v>
      </c>
      <c r="G723" s="141" t="str">
        <f t="shared" si="67"/>
        <v>0345</v>
      </c>
      <c r="H723" s="141" t="s">
        <v>3241</v>
      </c>
      <c r="I723" s="141" t="str">
        <f t="shared" si="65"/>
        <v>999</v>
      </c>
      <c r="J723" s="141" t="s">
        <v>4327</v>
      </c>
      <c r="K723" s="141">
        <v>2703</v>
      </c>
      <c r="L723" s="141">
        <v>1</v>
      </c>
      <c r="M723" s="141">
        <v>0</v>
      </c>
      <c r="N723" s="141">
        <v>28000</v>
      </c>
      <c r="O723" s="141" t="s">
        <v>4399</v>
      </c>
      <c r="P723" s="141" t="s">
        <v>4614</v>
      </c>
    </row>
    <row r="724" spans="1:16" ht="25.5">
      <c r="A724" s="141">
        <v>76807</v>
      </c>
      <c r="B724" s="141" t="s">
        <v>4325</v>
      </c>
      <c r="C724" s="142">
        <v>41201</v>
      </c>
      <c r="D724" s="141">
        <v>759</v>
      </c>
      <c r="E724" s="141" t="str">
        <f t="shared" si="64"/>
        <v>001</v>
      </c>
      <c r="F724" s="141" t="s">
        <v>4326</v>
      </c>
      <c r="G724" s="141" t="str">
        <f t="shared" si="67"/>
        <v>0345</v>
      </c>
      <c r="H724" s="141" t="s">
        <v>3241</v>
      </c>
      <c r="I724" s="141" t="str">
        <f t="shared" si="65"/>
        <v>999</v>
      </c>
      <c r="J724" s="141" t="s">
        <v>4327</v>
      </c>
      <c r="K724" s="141">
        <v>2704</v>
      </c>
      <c r="L724" s="141">
        <v>1</v>
      </c>
      <c r="M724" s="141">
        <v>0</v>
      </c>
      <c r="N724" s="141">
        <v>28000</v>
      </c>
      <c r="O724" s="141" t="s">
        <v>4399</v>
      </c>
      <c r="P724" s="141" t="s">
        <v>4614</v>
      </c>
    </row>
    <row r="725" spans="1:16" ht="25.5">
      <c r="A725" s="141">
        <v>76807</v>
      </c>
      <c r="B725" s="141" t="s">
        <v>4325</v>
      </c>
      <c r="C725" s="142">
        <v>41201</v>
      </c>
      <c r="D725" s="141">
        <v>759</v>
      </c>
      <c r="E725" s="141" t="str">
        <f t="shared" si="64"/>
        <v>001</v>
      </c>
      <c r="F725" s="141" t="s">
        <v>4326</v>
      </c>
      <c r="G725" s="141" t="str">
        <f t="shared" si="67"/>
        <v>0345</v>
      </c>
      <c r="H725" s="141" t="s">
        <v>3241</v>
      </c>
      <c r="I725" s="141" t="str">
        <f t="shared" si="65"/>
        <v>999</v>
      </c>
      <c r="J725" s="141" t="s">
        <v>4327</v>
      </c>
      <c r="K725" s="141">
        <v>2705</v>
      </c>
      <c r="L725" s="141">
        <v>1</v>
      </c>
      <c r="M725" s="141">
        <v>0</v>
      </c>
      <c r="N725" s="141">
        <v>3000</v>
      </c>
      <c r="O725" s="141" t="s">
        <v>4397</v>
      </c>
      <c r="P725" s="141" t="s">
        <v>4354</v>
      </c>
    </row>
    <row r="726" spans="1:16" ht="25.5">
      <c r="A726" s="141">
        <v>76807</v>
      </c>
      <c r="B726" s="141" t="s">
        <v>4325</v>
      </c>
      <c r="C726" s="142">
        <v>41201</v>
      </c>
      <c r="D726" s="141">
        <v>759</v>
      </c>
      <c r="E726" s="141" t="str">
        <f t="shared" si="64"/>
        <v>001</v>
      </c>
      <c r="F726" s="141" t="s">
        <v>4326</v>
      </c>
      <c r="G726" s="141" t="str">
        <f t="shared" si="67"/>
        <v>0345</v>
      </c>
      <c r="H726" s="141" t="s">
        <v>3241</v>
      </c>
      <c r="I726" s="141" t="str">
        <f t="shared" si="65"/>
        <v>999</v>
      </c>
      <c r="J726" s="141" t="s">
        <v>4327</v>
      </c>
      <c r="K726" s="141">
        <v>2706</v>
      </c>
      <c r="L726" s="141">
        <v>1</v>
      </c>
      <c r="M726" s="141">
        <v>0</v>
      </c>
      <c r="N726" s="141">
        <v>7000</v>
      </c>
      <c r="O726" s="141" t="s">
        <v>4615</v>
      </c>
      <c r="P726" s="141" t="s">
        <v>4616</v>
      </c>
    </row>
    <row r="727" spans="1:16" ht="25.5">
      <c r="A727" s="141">
        <v>76807</v>
      </c>
      <c r="B727" s="141" t="s">
        <v>4325</v>
      </c>
      <c r="C727" s="142">
        <v>41201</v>
      </c>
      <c r="D727" s="141">
        <v>759</v>
      </c>
      <c r="E727" s="141" t="str">
        <f t="shared" si="64"/>
        <v>001</v>
      </c>
      <c r="F727" s="141" t="s">
        <v>4326</v>
      </c>
      <c r="G727" s="141" t="str">
        <f t="shared" si="67"/>
        <v>0345</v>
      </c>
      <c r="H727" s="141" t="s">
        <v>3241</v>
      </c>
      <c r="I727" s="141" t="str">
        <f t="shared" si="65"/>
        <v>999</v>
      </c>
      <c r="J727" s="141" t="s">
        <v>4327</v>
      </c>
      <c r="K727" s="141">
        <v>2707</v>
      </c>
      <c r="L727" s="141">
        <v>1</v>
      </c>
      <c r="M727" s="141">
        <v>0</v>
      </c>
      <c r="N727" s="141">
        <v>1000</v>
      </c>
      <c r="O727" s="141" t="s">
        <v>4397</v>
      </c>
      <c r="P727" s="141" t="s">
        <v>4445</v>
      </c>
    </row>
    <row r="728" spans="1:16" ht="25.5">
      <c r="A728" s="141">
        <v>76807</v>
      </c>
      <c r="B728" s="141" t="s">
        <v>4325</v>
      </c>
      <c r="C728" s="142">
        <v>41201</v>
      </c>
      <c r="D728" s="141">
        <v>759</v>
      </c>
      <c r="E728" s="141" t="str">
        <f t="shared" si="64"/>
        <v>001</v>
      </c>
      <c r="F728" s="141" t="s">
        <v>4326</v>
      </c>
      <c r="G728" s="141" t="str">
        <f t="shared" si="67"/>
        <v>0345</v>
      </c>
      <c r="H728" s="141" t="s">
        <v>3241</v>
      </c>
      <c r="I728" s="141" t="str">
        <f t="shared" si="65"/>
        <v>999</v>
      </c>
      <c r="J728" s="141" t="s">
        <v>4327</v>
      </c>
      <c r="K728" s="141">
        <v>2708</v>
      </c>
      <c r="L728" s="141">
        <v>1</v>
      </c>
      <c r="M728" s="141">
        <v>0</v>
      </c>
      <c r="N728" s="141">
        <v>9000</v>
      </c>
      <c r="O728" s="141" t="s">
        <v>4397</v>
      </c>
      <c r="P728" s="141" t="s">
        <v>4617</v>
      </c>
    </row>
    <row r="729" spans="1:16" ht="25.5">
      <c r="A729" s="141">
        <v>76807</v>
      </c>
      <c r="B729" s="141" t="s">
        <v>4325</v>
      </c>
      <c r="C729" s="142">
        <v>41201</v>
      </c>
      <c r="D729" s="141">
        <v>759</v>
      </c>
      <c r="E729" s="141" t="str">
        <f t="shared" si="64"/>
        <v>001</v>
      </c>
      <c r="F729" s="141" t="s">
        <v>4326</v>
      </c>
      <c r="G729" s="141" t="str">
        <f t="shared" si="67"/>
        <v>0345</v>
      </c>
      <c r="H729" s="141" t="s">
        <v>3241</v>
      </c>
      <c r="I729" s="141" t="str">
        <f t="shared" si="65"/>
        <v>999</v>
      </c>
      <c r="J729" s="141" t="s">
        <v>4327</v>
      </c>
      <c r="K729" s="141">
        <v>2709</v>
      </c>
      <c r="L729" s="141">
        <v>1</v>
      </c>
      <c r="M729" s="141">
        <v>0</v>
      </c>
      <c r="N729" s="141">
        <v>8000</v>
      </c>
      <c r="O729" s="141" t="s">
        <v>4397</v>
      </c>
      <c r="P729" s="141" t="s">
        <v>4524</v>
      </c>
    </row>
    <row r="730" spans="1:16" ht="25.5">
      <c r="A730" s="141">
        <v>76807</v>
      </c>
      <c r="B730" s="141" t="s">
        <v>4325</v>
      </c>
      <c r="C730" s="142">
        <v>41201</v>
      </c>
      <c r="D730" s="141">
        <v>759</v>
      </c>
      <c r="E730" s="141" t="str">
        <f t="shared" si="64"/>
        <v>001</v>
      </c>
      <c r="F730" s="141" t="s">
        <v>4326</v>
      </c>
      <c r="G730" s="141" t="str">
        <f t="shared" si="67"/>
        <v>0345</v>
      </c>
      <c r="H730" s="141" t="s">
        <v>3241</v>
      </c>
      <c r="I730" s="141" t="str">
        <f t="shared" si="65"/>
        <v>999</v>
      </c>
      <c r="J730" s="141" t="s">
        <v>4327</v>
      </c>
      <c r="K730" s="141">
        <v>2710</v>
      </c>
      <c r="L730" s="141">
        <v>1</v>
      </c>
      <c r="M730" s="141">
        <v>0</v>
      </c>
      <c r="N730" s="141">
        <v>2000</v>
      </c>
      <c r="O730" s="141" t="s">
        <v>4397</v>
      </c>
      <c r="P730" s="141" t="s">
        <v>4618</v>
      </c>
    </row>
    <row r="731" spans="1:16" ht="25.5">
      <c r="A731" s="141">
        <v>76807</v>
      </c>
      <c r="B731" s="141" t="s">
        <v>4325</v>
      </c>
      <c r="C731" s="142">
        <v>41201</v>
      </c>
      <c r="D731" s="141">
        <v>759</v>
      </c>
      <c r="E731" s="141" t="str">
        <f t="shared" si="64"/>
        <v>001</v>
      </c>
      <c r="F731" s="141" t="s">
        <v>4326</v>
      </c>
      <c r="G731" s="141" t="str">
        <f t="shared" si="67"/>
        <v>0345</v>
      </c>
      <c r="H731" s="141" t="s">
        <v>3241</v>
      </c>
      <c r="I731" s="141" t="str">
        <f t="shared" si="65"/>
        <v>999</v>
      </c>
      <c r="J731" s="141" t="s">
        <v>4327</v>
      </c>
      <c r="K731" s="141">
        <v>2711</v>
      </c>
      <c r="L731" s="141">
        <v>1</v>
      </c>
      <c r="M731" s="141">
        <v>0</v>
      </c>
      <c r="N731" s="141">
        <v>2000</v>
      </c>
      <c r="O731" s="141" t="s">
        <v>4397</v>
      </c>
      <c r="P731" s="141" t="s">
        <v>4618</v>
      </c>
    </row>
    <row r="732" spans="1:16" ht="25.5">
      <c r="A732" s="141">
        <v>76807</v>
      </c>
      <c r="B732" s="141" t="s">
        <v>4325</v>
      </c>
      <c r="C732" s="142">
        <v>41201</v>
      </c>
      <c r="D732" s="141">
        <v>759</v>
      </c>
      <c r="E732" s="141" t="str">
        <f t="shared" si="64"/>
        <v>001</v>
      </c>
      <c r="F732" s="141" t="s">
        <v>4326</v>
      </c>
      <c r="G732" s="141" t="str">
        <f t="shared" si="67"/>
        <v>0345</v>
      </c>
      <c r="H732" s="141" t="s">
        <v>3241</v>
      </c>
      <c r="I732" s="141" t="str">
        <f t="shared" si="65"/>
        <v>999</v>
      </c>
      <c r="J732" s="141" t="s">
        <v>4327</v>
      </c>
      <c r="K732" s="141">
        <v>2712</v>
      </c>
      <c r="L732" s="141">
        <v>1</v>
      </c>
      <c r="M732" s="141">
        <v>0</v>
      </c>
      <c r="N732" s="141">
        <v>5000</v>
      </c>
      <c r="O732" s="141" t="s">
        <v>4397</v>
      </c>
      <c r="P732" s="141" t="s">
        <v>4530</v>
      </c>
    </row>
    <row r="733" spans="1:16" ht="25.5">
      <c r="A733" s="141">
        <v>76807</v>
      </c>
      <c r="B733" s="141" t="s">
        <v>4325</v>
      </c>
      <c r="C733" s="142">
        <v>41201</v>
      </c>
      <c r="D733" s="141">
        <v>759</v>
      </c>
      <c r="E733" s="141" t="str">
        <f t="shared" si="64"/>
        <v>001</v>
      </c>
      <c r="F733" s="141" t="s">
        <v>4326</v>
      </c>
      <c r="G733" s="141" t="str">
        <f t="shared" si="67"/>
        <v>0345</v>
      </c>
      <c r="H733" s="141" t="s">
        <v>3241</v>
      </c>
      <c r="I733" s="141" t="str">
        <f t="shared" si="65"/>
        <v>999</v>
      </c>
      <c r="J733" s="141" t="s">
        <v>4327</v>
      </c>
      <c r="K733" s="141">
        <v>2713</v>
      </c>
      <c r="L733" s="141">
        <v>1</v>
      </c>
      <c r="M733" s="141">
        <v>0</v>
      </c>
      <c r="N733" s="141">
        <v>92000</v>
      </c>
      <c r="O733" s="141" t="s">
        <v>4619</v>
      </c>
      <c r="P733" s="141"/>
    </row>
    <row r="734" spans="1:16" ht="25.5">
      <c r="A734" s="141">
        <v>76807</v>
      </c>
      <c r="B734" s="141" t="s">
        <v>4325</v>
      </c>
      <c r="C734" s="142">
        <v>41201</v>
      </c>
      <c r="D734" s="141">
        <v>759</v>
      </c>
      <c r="E734" s="141" t="str">
        <f t="shared" si="64"/>
        <v>001</v>
      </c>
      <c r="F734" s="141" t="s">
        <v>4326</v>
      </c>
      <c r="G734" s="141" t="str">
        <f t="shared" si="67"/>
        <v>0345</v>
      </c>
      <c r="H734" s="141" t="s">
        <v>3241</v>
      </c>
      <c r="I734" s="141" t="str">
        <f t="shared" si="65"/>
        <v>999</v>
      </c>
      <c r="J734" s="141" t="s">
        <v>4327</v>
      </c>
      <c r="K734" s="141">
        <v>2714</v>
      </c>
      <c r="L734" s="141">
        <v>1</v>
      </c>
      <c r="M734" s="141">
        <v>0</v>
      </c>
      <c r="N734" s="141">
        <v>20000</v>
      </c>
      <c r="O734" s="141" t="s">
        <v>4368</v>
      </c>
      <c r="P734" s="141"/>
    </row>
    <row r="735" spans="1:16" ht="25.5">
      <c r="A735" s="141">
        <v>76807</v>
      </c>
      <c r="B735" s="141" t="s">
        <v>4325</v>
      </c>
      <c r="C735" s="142">
        <v>41201</v>
      </c>
      <c r="D735" s="141">
        <v>759</v>
      </c>
      <c r="E735" s="141" t="str">
        <f t="shared" si="64"/>
        <v>001</v>
      </c>
      <c r="F735" s="141" t="s">
        <v>4326</v>
      </c>
      <c r="G735" s="141" t="str">
        <f t="shared" si="67"/>
        <v>0345</v>
      </c>
      <c r="H735" s="141" t="s">
        <v>3241</v>
      </c>
      <c r="I735" s="141" t="str">
        <f t="shared" si="65"/>
        <v>999</v>
      </c>
      <c r="J735" s="141" t="s">
        <v>4327</v>
      </c>
      <c r="K735" s="141">
        <v>2715</v>
      </c>
      <c r="L735" s="141">
        <v>100</v>
      </c>
      <c r="M735" s="141">
        <v>0</v>
      </c>
      <c r="N735" s="141">
        <v>72000</v>
      </c>
      <c r="O735" s="141" t="s">
        <v>4343</v>
      </c>
      <c r="P735" s="141"/>
    </row>
    <row r="736" spans="1:16" ht="25.5">
      <c r="A736" s="141">
        <v>76807</v>
      </c>
      <c r="B736" s="141" t="s">
        <v>4325</v>
      </c>
      <c r="C736" s="142">
        <v>41201</v>
      </c>
      <c r="D736" s="141">
        <v>759</v>
      </c>
      <c r="E736" s="141" t="str">
        <f t="shared" si="64"/>
        <v>001</v>
      </c>
      <c r="F736" s="141" t="s">
        <v>4326</v>
      </c>
      <c r="G736" s="141" t="str">
        <f t="shared" si="67"/>
        <v>0345</v>
      </c>
      <c r="H736" s="141" t="s">
        <v>3241</v>
      </c>
      <c r="I736" s="141" t="str">
        <f t="shared" si="65"/>
        <v>999</v>
      </c>
      <c r="J736" s="141" t="s">
        <v>4327</v>
      </c>
      <c r="K736" s="141">
        <v>2716</v>
      </c>
      <c r="L736" s="141">
        <v>30</v>
      </c>
      <c r="M736" s="141">
        <v>0</v>
      </c>
      <c r="N736" s="141">
        <v>17000</v>
      </c>
      <c r="O736" s="141" t="s">
        <v>4350</v>
      </c>
      <c r="P736" s="141"/>
    </row>
    <row r="737" spans="1:16" ht="25.5">
      <c r="A737" s="141">
        <v>76807</v>
      </c>
      <c r="B737" s="141" t="s">
        <v>4325</v>
      </c>
      <c r="C737" s="142">
        <v>41201</v>
      </c>
      <c r="D737" s="141">
        <v>1268</v>
      </c>
      <c r="E737" s="141" t="str">
        <f t="shared" si="64"/>
        <v>001</v>
      </c>
      <c r="F737" s="141" t="s">
        <v>4326</v>
      </c>
      <c r="G737" s="141" t="str">
        <f>"0346"</f>
        <v>0346</v>
      </c>
      <c r="H737" s="141" t="s">
        <v>4620</v>
      </c>
      <c r="I737" s="141" t="str">
        <f t="shared" si="65"/>
        <v>999</v>
      </c>
      <c r="J737" s="141" t="s">
        <v>4327</v>
      </c>
      <c r="K737" s="141">
        <v>3378</v>
      </c>
      <c r="L737" s="141">
        <v>1</v>
      </c>
      <c r="M737" s="141">
        <v>0</v>
      </c>
      <c r="N737" s="141">
        <v>218000</v>
      </c>
      <c r="O737" s="141" t="s">
        <v>4327</v>
      </c>
      <c r="P737" s="141"/>
    </row>
    <row r="738" spans="1:16" ht="25.5">
      <c r="A738" s="141">
        <v>76807</v>
      </c>
      <c r="B738" s="141" t="s">
        <v>4325</v>
      </c>
      <c r="C738" s="142">
        <v>41201</v>
      </c>
      <c r="D738" s="141">
        <v>388</v>
      </c>
      <c r="E738" s="141" t="str">
        <f t="shared" si="64"/>
        <v>001</v>
      </c>
      <c r="F738" s="141" t="s">
        <v>4326</v>
      </c>
      <c r="G738" s="141" t="str">
        <f t="shared" ref="G738:G746" si="68">"0347"</f>
        <v>0347</v>
      </c>
      <c r="H738" s="141" t="s">
        <v>1634</v>
      </c>
      <c r="I738" s="141" t="str">
        <f t="shared" si="65"/>
        <v>999</v>
      </c>
      <c r="J738" s="141" t="s">
        <v>4327</v>
      </c>
      <c r="K738" s="141">
        <v>1012</v>
      </c>
      <c r="L738" s="141">
        <v>1</v>
      </c>
      <c r="M738" s="141">
        <v>0</v>
      </c>
      <c r="N738" s="141">
        <v>26000</v>
      </c>
      <c r="O738" s="141" t="s">
        <v>4337</v>
      </c>
      <c r="P738" s="141" t="s">
        <v>4514</v>
      </c>
    </row>
    <row r="739" spans="1:16" ht="25.5">
      <c r="A739" s="141">
        <v>76807</v>
      </c>
      <c r="B739" s="141" t="s">
        <v>4325</v>
      </c>
      <c r="C739" s="142">
        <v>41201</v>
      </c>
      <c r="D739" s="141">
        <v>388</v>
      </c>
      <c r="E739" s="141" t="str">
        <f t="shared" si="64"/>
        <v>001</v>
      </c>
      <c r="F739" s="141" t="s">
        <v>4326</v>
      </c>
      <c r="G739" s="141" t="str">
        <f t="shared" si="68"/>
        <v>0347</v>
      </c>
      <c r="H739" s="141" t="s">
        <v>1634</v>
      </c>
      <c r="I739" s="141" t="str">
        <f t="shared" si="65"/>
        <v>999</v>
      </c>
      <c r="J739" s="141" t="s">
        <v>4327</v>
      </c>
      <c r="K739" s="141">
        <v>1013</v>
      </c>
      <c r="L739" s="141">
        <v>1</v>
      </c>
      <c r="M739" s="141">
        <v>0</v>
      </c>
      <c r="N739" s="141">
        <v>29000</v>
      </c>
      <c r="O739" s="141" t="s">
        <v>4337</v>
      </c>
      <c r="P739" s="141" t="s">
        <v>4621</v>
      </c>
    </row>
    <row r="740" spans="1:16" ht="25.5">
      <c r="A740" s="141">
        <v>76807</v>
      </c>
      <c r="B740" s="141" t="s">
        <v>4325</v>
      </c>
      <c r="C740" s="142">
        <v>41201</v>
      </c>
      <c r="D740" s="141">
        <v>388</v>
      </c>
      <c r="E740" s="141" t="str">
        <f t="shared" si="64"/>
        <v>001</v>
      </c>
      <c r="F740" s="141" t="s">
        <v>4326</v>
      </c>
      <c r="G740" s="141" t="str">
        <f t="shared" si="68"/>
        <v>0347</v>
      </c>
      <c r="H740" s="141" t="s">
        <v>1634</v>
      </c>
      <c r="I740" s="141" t="str">
        <f t="shared" si="65"/>
        <v>999</v>
      </c>
      <c r="J740" s="141" t="s">
        <v>4327</v>
      </c>
      <c r="K740" s="141">
        <v>1014</v>
      </c>
      <c r="L740" s="141">
        <v>4</v>
      </c>
      <c r="M740" s="141">
        <v>0</v>
      </c>
      <c r="N740" s="141">
        <v>18000</v>
      </c>
      <c r="O740" s="141" t="s">
        <v>4406</v>
      </c>
      <c r="P740" s="141"/>
    </row>
    <row r="741" spans="1:16" ht="25.5">
      <c r="A741" s="141">
        <v>76807</v>
      </c>
      <c r="B741" s="141" t="s">
        <v>4325</v>
      </c>
      <c r="C741" s="142">
        <v>41201</v>
      </c>
      <c r="D741" s="141">
        <v>388</v>
      </c>
      <c r="E741" s="141" t="str">
        <f t="shared" si="64"/>
        <v>001</v>
      </c>
      <c r="F741" s="141" t="s">
        <v>4326</v>
      </c>
      <c r="G741" s="141" t="str">
        <f t="shared" si="68"/>
        <v>0347</v>
      </c>
      <c r="H741" s="141" t="s">
        <v>1634</v>
      </c>
      <c r="I741" s="141" t="str">
        <f t="shared" si="65"/>
        <v>999</v>
      </c>
      <c r="J741" s="141" t="s">
        <v>4327</v>
      </c>
      <c r="K741" s="141">
        <v>1015</v>
      </c>
      <c r="L741" s="141">
        <v>1</v>
      </c>
      <c r="M741" s="141">
        <v>0</v>
      </c>
      <c r="N741" s="141">
        <v>112000</v>
      </c>
      <c r="O741" s="141" t="s">
        <v>4366</v>
      </c>
      <c r="P741" s="141" t="s">
        <v>4367</v>
      </c>
    </row>
    <row r="742" spans="1:16" ht="25.5">
      <c r="A742" s="141">
        <v>76807</v>
      </c>
      <c r="B742" s="141" t="s">
        <v>4325</v>
      </c>
      <c r="C742" s="142">
        <v>41201</v>
      </c>
      <c r="D742" s="141">
        <v>388</v>
      </c>
      <c r="E742" s="141" t="str">
        <f t="shared" si="64"/>
        <v>001</v>
      </c>
      <c r="F742" s="141" t="s">
        <v>4326</v>
      </c>
      <c r="G742" s="141" t="str">
        <f t="shared" si="68"/>
        <v>0347</v>
      </c>
      <c r="H742" s="141" t="s">
        <v>1634</v>
      </c>
      <c r="I742" s="141" t="str">
        <f t="shared" si="65"/>
        <v>999</v>
      </c>
      <c r="J742" s="141" t="s">
        <v>4327</v>
      </c>
      <c r="K742" s="141">
        <v>1016</v>
      </c>
      <c r="L742" s="141">
        <v>6</v>
      </c>
      <c r="M742" s="141">
        <v>0</v>
      </c>
      <c r="N742" s="141">
        <v>13000</v>
      </c>
      <c r="O742" s="141" t="s">
        <v>4408</v>
      </c>
      <c r="P742" s="141"/>
    </row>
    <row r="743" spans="1:16" ht="25.5">
      <c r="A743" s="141">
        <v>76807</v>
      </c>
      <c r="B743" s="141" t="s">
        <v>4325</v>
      </c>
      <c r="C743" s="142">
        <v>41201</v>
      </c>
      <c r="D743" s="141">
        <v>388</v>
      </c>
      <c r="E743" s="141" t="str">
        <f t="shared" si="64"/>
        <v>001</v>
      </c>
      <c r="F743" s="141" t="s">
        <v>4326</v>
      </c>
      <c r="G743" s="141" t="str">
        <f t="shared" si="68"/>
        <v>0347</v>
      </c>
      <c r="H743" s="141" t="s">
        <v>1634</v>
      </c>
      <c r="I743" s="141" t="str">
        <f t="shared" si="65"/>
        <v>999</v>
      </c>
      <c r="J743" s="141" t="s">
        <v>4327</v>
      </c>
      <c r="K743" s="141">
        <v>1017</v>
      </c>
      <c r="L743" s="141">
        <v>1</v>
      </c>
      <c r="M743" s="141">
        <v>0</v>
      </c>
      <c r="N743" s="141">
        <v>1000</v>
      </c>
      <c r="O743" s="141" t="s">
        <v>4381</v>
      </c>
      <c r="P743" s="141"/>
    </row>
    <row r="744" spans="1:16" ht="25.5">
      <c r="A744" s="141">
        <v>76807</v>
      </c>
      <c r="B744" s="141" t="s">
        <v>4325</v>
      </c>
      <c r="C744" s="142">
        <v>41201</v>
      </c>
      <c r="D744" s="141">
        <v>388</v>
      </c>
      <c r="E744" s="141" t="str">
        <f t="shared" si="64"/>
        <v>001</v>
      </c>
      <c r="F744" s="141" t="s">
        <v>4326</v>
      </c>
      <c r="G744" s="141" t="str">
        <f t="shared" si="68"/>
        <v>0347</v>
      </c>
      <c r="H744" s="141" t="s">
        <v>1634</v>
      </c>
      <c r="I744" s="141" t="str">
        <f t="shared" si="65"/>
        <v>999</v>
      </c>
      <c r="J744" s="141" t="s">
        <v>4327</v>
      </c>
      <c r="K744" s="141">
        <v>1018</v>
      </c>
      <c r="L744" s="141">
        <v>22</v>
      </c>
      <c r="M744" s="141">
        <v>0</v>
      </c>
      <c r="N744" s="141">
        <v>12000</v>
      </c>
      <c r="O744" s="141" t="s">
        <v>4350</v>
      </c>
      <c r="P744" s="141"/>
    </row>
    <row r="745" spans="1:16" ht="25.5">
      <c r="A745" s="141">
        <v>76807</v>
      </c>
      <c r="B745" s="141" t="s">
        <v>4325</v>
      </c>
      <c r="C745" s="142">
        <v>41201</v>
      </c>
      <c r="D745" s="141">
        <v>388</v>
      </c>
      <c r="E745" s="141" t="str">
        <f t="shared" si="64"/>
        <v>001</v>
      </c>
      <c r="F745" s="141" t="s">
        <v>4326</v>
      </c>
      <c r="G745" s="141" t="str">
        <f t="shared" si="68"/>
        <v>0347</v>
      </c>
      <c r="H745" s="141" t="s">
        <v>1634</v>
      </c>
      <c r="I745" s="141" t="str">
        <f t="shared" si="65"/>
        <v>999</v>
      </c>
      <c r="J745" s="141" t="s">
        <v>4327</v>
      </c>
      <c r="K745" s="141">
        <v>1019</v>
      </c>
      <c r="L745" s="141">
        <v>6</v>
      </c>
      <c r="M745" s="141">
        <v>0</v>
      </c>
      <c r="N745" s="141">
        <v>81000</v>
      </c>
      <c r="O745" s="141" t="s">
        <v>4357</v>
      </c>
      <c r="P745" s="141" t="s">
        <v>4622</v>
      </c>
    </row>
    <row r="746" spans="1:16" ht="25.5">
      <c r="A746" s="141">
        <v>76807</v>
      </c>
      <c r="B746" s="141" t="s">
        <v>4325</v>
      </c>
      <c r="C746" s="142">
        <v>41201</v>
      </c>
      <c r="D746" s="141">
        <v>388</v>
      </c>
      <c r="E746" s="141" t="str">
        <f t="shared" si="64"/>
        <v>001</v>
      </c>
      <c r="F746" s="141" t="s">
        <v>4326</v>
      </c>
      <c r="G746" s="141" t="str">
        <f t="shared" si="68"/>
        <v>0347</v>
      </c>
      <c r="H746" s="141" t="s">
        <v>1634</v>
      </c>
      <c r="I746" s="141" t="str">
        <f t="shared" si="65"/>
        <v>999</v>
      </c>
      <c r="J746" s="141" t="s">
        <v>4327</v>
      </c>
      <c r="K746" s="141">
        <v>1020</v>
      </c>
      <c r="L746" s="141">
        <v>10</v>
      </c>
      <c r="M746" s="141">
        <v>0</v>
      </c>
      <c r="N746" s="141">
        <v>173000</v>
      </c>
      <c r="O746" s="141" t="s">
        <v>4357</v>
      </c>
      <c r="P746" s="141" t="s">
        <v>4611</v>
      </c>
    </row>
    <row r="747" spans="1:16" ht="25.5">
      <c r="A747" s="141">
        <v>76807</v>
      </c>
      <c r="B747" s="141" t="s">
        <v>4325</v>
      </c>
      <c r="C747" s="142">
        <v>41201</v>
      </c>
      <c r="D747" s="141">
        <v>1181</v>
      </c>
      <c r="E747" s="141" t="str">
        <f t="shared" si="64"/>
        <v>001</v>
      </c>
      <c r="F747" s="141" t="s">
        <v>4326</v>
      </c>
      <c r="G747" s="141" t="str">
        <f t="shared" ref="G747:G801" si="69">"0360"</f>
        <v>0360</v>
      </c>
      <c r="H747" s="141" t="s">
        <v>2384</v>
      </c>
      <c r="I747" s="141" t="str">
        <f t="shared" si="65"/>
        <v>999</v>
      </c>
      <c r="J747" s="141" t="s">
        <v>4327</v>
      </c>
      <c r="K747" s="141">
        <v>3152</v>
      </c>
      <c r="L747" s="141">
        <v>1</v>
      </c>
      <c r="M747" s="141">
        <v>0</v>
      </c>
      <c r="N747" s="141">
        <v>18000</v>
      </c>
      <c r="O747" s="141" t="s">
        <v>4463</v>
      </c>
      <c r="P747" s="141" t="s">
        <v>4623</v>
      </c>
    </row>
    <row r="748" spans="1:16" ht="25.5">
      <c r="A748" s="141">
        <v>76807</v>
      </c>
      <c r="B748" s="141" t="s">
        <v>4325</v>
      </c>
      <c r="C748" s="142">
        <v>41201</v>
      </c>
      <c r="D748" s="141">
        <v>1181</v>
      </c>
      <c r="E748" s="141" t="str">
        <f t="shared" si="64"/>
        <v>001</v>
      </c>
      <c r="F748" s="141" t="s">
        <v>4326</v>
      </c>
      <c r="G748" s="141" t="str">
        <f t="shared" si="69"/>
        <v>0360</v>
      </c>
      <c r="H748" s="141" t="s">
        <v>2384</v>
      </c>
      <c r="I748" s="141" t="str">
        <f t="shared" si="65"/>
        <v>999</v>
      </c>
      <c r="J748" s="141" t="s">
        <v>4327</v>
      </c>
      <c r="K748" s="141">
        <v>3153</v>
      </c>
      <c r="L748" s="141">
        <v>3</v>
      </c>
      <c r="M748" s="141">
        <v>0</v>
      </c>
      <c r="N748" s="141">
        <v>1000</v>
      </c>
      <c r="O748" s="141" t="s">
        <v>4624</v>
      </c>
      <c r="P748" s="141"/>
    </row>
    <row r="749" spans="1:16" ht="25.5">
      <c r="A749" s="141">
        <v>76807</v>
      </c>
      <c r="B749" s="141" t="s">
        <v>4325</v>
      </c>
      <c r="C749" s="142">
        <v>41201</v>
      </c>
      <c r="D749" s="141">
        <v>1181</v>
      </c>
      <c r="E749" s="141" t="str">
        <f t="shared" si="64"/>
        <v>001</v>
      </c>
      <c r="F749" s="141" t="s">
        <v>4326</v>
      </c>
      <c r="G749" s="141" t="str">
        <f t="shared" si="69"/>
        <v>0360</v>
      </c>
      <c r="H749" s="141" t="s">
        <v>2384</v>
      </c>
      <c r="I749" s="141" t="str">
        <f t="shared" si="65"/>
        <v>999</v>
      </c>
      <c r="J749" s="141" t="s">
        <v>4327</v>
      </c>
      <c r="K749" s="141">
        <v>3154</v>
      </c>
      <c r="L749" s="141">
        <v>2</v>
      </c>
      <c r="M749" s="141">
        <v>0</v>
      </c>
      <c r="N749" s="141">
        <v>0</v>
      </c>
      <c r="O749" s="141" t="s">
        <v>4625</v>
      </c>
      <c r="P749" s="141"/>
    </row>
    <row r="750" spans="1:16" ht="25.5">
      <c r="A750" s="141">
        <v>76807</v>
      </c>
      <c r="B750" s="141" t="s">
        <v>4325</v>
      </c>
      <c r="C750" s="142">
        <v>41201</v>
      </c>
      <c r="D750" s="141">
        <v>1181</v>
      </c>
      <c r="E750" s="141" t="str">
        <f t="shared" si="64"/>
        <v>001</v>
      </c>
      <c r="F750" s="141" t="s">
        <v>4326</v>
      </c>
      <c r="G750" s="141" t="str">
        <f t="shared" si="69"/>
        <v>0360</v>
      </c>
      <c r="H750" s="141" t="s">
        <v>2384</v>
      </c>
      <c r="I750" s="141" t="str">
        <f t="shared" si="65"/>
        <v>999</v>
      </c>
      <c r="J750" s="141" t="s">
        <v>4327</v>
      </c>
      <c r="K750" s="141">
        <v>3155</v>
      </c>
      <c r="L750" s="141">
        <v>6</v>
      </c>
      <c r="M750" s="141">
        <v>0</v>
      </c>
      <c r="N750" s="141">
        <v>3000</v>
      </c>
      <c r="O750" s="141" t="s">
        <v>4350</v>
      </c>
      <c r="P750" s="141"/>
    </row>
    <row r="751" spans="1:16" ht="25.5">
      <c r="A751" s="141">
        <v>76807</v>
      </c>
      <c r="B751" s="141" t="s">
        <v>4325</v>
      </c>
      <c r="C751" s="142">
        <v>41201</v>
      </c>
      <c r="D751" s="141">
        <v>1181</v>
      </c>
      <c r="E751" s="141" t="str">
        <f t="shared" si="64"/>
        <v>001</v>
      </c>
      <c r="F751" s="141" t="s">
        <v>4326</v>
      </c>
      <c r="G751" s="141" t="str">
        <f t="shared" si="69"/>
        <v>0360</v>
      </c>
      <c r="H751" s="141" t="s">
        <v>2384</v>
      </c>
      <c r="I751" s="141" t="str">
        <f t="shared" si="65"/>
        <v>999</v>
      </c>
      <c r="J751" s="141" t="s">
        <v>4327</v>
      </c>
      <c r="K751" s="141">
        <v>3156</v>
      </c>
      <c r="L751" s="141">
        <v>13</v>
      </c>
      <c r="M751" s="141">
        <v>0</v>
      </c>
      <c r="N751" s="141">
        <v>9000</v>
      </c>
      <c r="O751" s="141" t="s">
        <v>4343</v>
      </c>
      <c r="P751" s="141"/>
    </row>
    <row r="752" spans="1:16" ht="25.5">
      <c r="A752" s="141">
        <v>76807</v>
      </c>
      <c r="B752" s="141" t="s">
        <v>4325</v>
      </c>
      <c r="C752" s="142">
        <v>41201</v>
      </c>
      <c r="D752" s="141">
        <v>1181</v>
      </c>
      <c r="E752" s="141" t="str">
        <f t="shared" si="64"/>
        <v>001</v>
      </c>
      <c r="F752" s="141" t="s">
        <v>4326</v>
      </c>
      <c r="G752" s="141" t="str">
        <f t="shared" si="69"/>
        <v>0360</v>
      </c>
      <c r="H752" s="141" t="s">
        <v>2384</v>
      </c>
      <c r="I752" s="141" t="str">
        <f t="shared" si="65"/>
        <v>999</v>
      </c>
      <c r="J752" s="141" t="s">
        <v>4327</v>
      </c>
      <c r="K752" s="141">
        <v>3157</v>
      </c>
      <c r="L752" s="141">
        <v>4</v>
      </c>
      <c r="M752" s="141">
        <v>0</v>
      </c>
      <c r="N752" s="141">
        <v>38000</v>
      </c>
      <c r="O752" s="141" t="s">
        <v>4334</v>
      </c>
      <c r="P752" s="141" t="s">
        <v>4626</v>
      </c>
    </row>
    <row r="753" spans="1:16" ht="25.5">
      <c r="A753" s="141">
        <v>76807</v>
      </c>
      <c r="B753" s="141" t="s">
        <v>4325</v>
      </c>
      <c r="C753" s="142">
        <v>41201</v>
      </c>
      <c r="D753" s="141">
        <v>1181</v>
      </c>
      <c r="E753" s="141" t="str">
        <f t="shared" si="64"/>
        <v>001</v>
      </c>
      <c r="F753" s="141" t="s">
        <v>4326</v>
      </c>
      <c r="G753" s="141" t="str">
        <f t="shared" si="69"/>
        <v>0360</v>
      </c>
      <c r="H753" s="141" t="s">
        <v>2384</v>
      </c>
      <c r="I753" s="141" t="str">
        <f t="shared" si="65"/>
        <v>999</v>
      </c>
      <c r="J753" s="141" t="s">
        <v>4327</v>
      </c>
      <c r="K753" s="141">
        <v>3158</v>
      </c>
      <c r="L753" s="141">
        <v>4</v>
      </c>
      <c r="M753" s="141">
        <v>0</v>
      </c>
      <c r="N753" s="141">
        <v>27000</v>
      </c>
      <c r="O753" s="141" t="s">
        <v>4334</v>
      </c>
      <c r="P753" s="141" t="s">
        <v>4547</v>
      </c>
    </row>
    <row r="754" spans="1:16" ht="25.5">
      <c r="A754" s="141">
        <v>76807</v>
      </c>
      <c r="B754" s="141" t="s">
        <v>4325</v>
      </c>
      <c r="C754" s="142">
        <v>41201</v>
      </c>
      <c r="D754" s="141">
        <v>1181</v>
      </c>
      <c r="E754" s="141" t="str">
        <f t="shared" si="64"/>
        <v>001</v>
      </c>
      <c r="F754" s="141" t="s">
        <v>4326</v>
      </c>
      <c r="G754" s="141" t="str">
        <f t="shared" si="69"/>
        <v>0360</v>
      </c>
      <c r="H754" s="141" t="s">
        <v>2384</v>
      </c>
      <c r="I754" s="141" t="str">
        <f t="shared" si="65"/>
        <v>999</v>
      </c>
      <c r="J754" s="141" t="s">
        <v>4327</v>
      </c>
      <c r="K754" s="141">
        <v>3159</v>
      </c>
      <c r="L754" s="141">
        <v>4</v>
      </c>
      <c r="M754" s="141">
        <v>0</v>
      </c>
      <c r="N754" s="141">
        <v>7000</v>
      </c>
      <c r="O754" s="141" t="s">
        <v>4409</v>
      </c>
      <c r="P754" s="141" t="s">
        <v>4340</v>
      </c>
    </row>
    <row r="755" spans="1:16" ht="25.5">
      <c r="A755" s="141">
        <v>76807</v>
      </c>
      <c r="B755" s="141" t="s">
        <v>4325</v>
      </c>
      <c r="C755" s="142">
        <v>41201</v>
      </c>
      <c r="D755" s="141">
        <v>1181</v>
      </c>
      <c r="E755" s="141" t="str">
        <f t="shared" si="64"/>
        <v>001</v>
      </c>
      <c r="F755" s="141" t="s">
        <v>4326</v>
      </c>
      <c r="G755" s="141" t="str">
        <f t="shared" si="69"/>
        <v>0360</v>
      </c>
      <c r="H755" s="141" t="s">
        <v>2384</v>
      </c>
      <c r="I755" s="141" t="str">
        <f t="shared" si="65"/>
        <v>999</v>
      </c>
      <c r="J755" s="141" t="s">
        <v>4327</v>
      </c>
      <c r="K755" s="141">
        <v>3160</v>
      </c>
      <c r="L755" s="141">
        <v>2</v>
      </c>
      <c r="M755" s="141">
        <v>0</v>
      </c>
      <c r="N755" s="141">
        <v>7000</v>
      </c>
      <c r="O755" s="141" t="s">
        <v>4409</v>
      </c>
      <c r="P755" s="141" t="s">
        <v>4413</v>
      </c>
    </row>
    <row r="756" spans="1:16" ht="25.5">
      <c r="A756" s="141">
        <v>76807</v>
      </c>
      <c r="B756" s="141" t="s">
        <v>4325</v>
      </c>
      <c r="C756" s="142">
        <v>41201</v>
      </c>
      <c r="D756" s="141">
        <v>1181</v>
      </c>
      <c r="E756" s="141" t="str">
        <f t="shared" si="64"/>
        <v>001</v>
      </c>
      <c r="F756" s="141" t="s">
        <v>4326</v>
      </c>
      <c r="G756" s="141" t="str">
        <f t="shared" si="69"/>
        <v>0360</v>
      </c>
      <c r="H756" s="141" t="s">
        <v>2384</v>
      </c>
      <c r="I756" s="141" t="str">
        <f t="shared" si="65"/>
        <v>999</v>
      </c>
      <c r="J756" s="141" t="s">
        <v>4327</v>
      </c>
      <c r="K756" s="141">
        <v>3161</v>
      </c>
      <c r="L756" s="141">
        <v>2</v>
      </c>
      <c r="M756" s="141">
        <v>0</v>
      </c>
      <c r="N756" s="141">
        <v>6000</v>
      </c>
      <c r="O756" s="141" t="s">
        <v>4409</v>
      </c>
      <c r="P756" s="141" t="s">
        <v>4362</v>
      </c>
    </row>
    <row r="757" spans="1:16" ht="25.5">
      <c r="A757" s="141">
        <v>76807</v>
      </c>
      <c r="B757" s="141" t="s">
        <v>4325</v>
      </c>
      <c r="C757" s="142">
        <v>41201</v>
      </c>
      <c r="D757" s="141">
        <v>1181</v>
      </c>
      <c r="E757" s="141" t="str">
        <f t="shared" si="64"/>
        <v>001</v>
      </c>
      <c r="F757" s="141" t="s">
        <v>4326</v>
      </c>
      <c r="G757" s="141" t="str">
        <f t="shared" si="69"/>
        <v>0360</v>
      </c>
      <c r="H757" s="141" t="s">
        <v>2384</v>
      </c>
      <c r="I757" s="141" t="str">
        <f t="shared" si="65"/>
        <v>999</v>
      </c>
      <c r="J757" s="141" t="s">
        <v>4327</v>
      </c>
      <c r="K757" s="141">
        <v>3162</v>
      </c>
      <c r="L757" s="141">
        <v>7</v>
      </c>
      <c r="M757" s="141">
        <v>0</v>
      </c>
      <c r="N757" s="141">
        <v>31000</v>
      </c>
      <c r="O757" s="141" t="s">
        <v>4357</v>
      </c>
      <c r="P757" s="141" t="s">
        <v>4362</v>
      </c>
    </row>
    <row r="758" spans="1:16" ht="25.5">
      <c r="A758" s="141">
        <v>76807</v>
      </c>
      <c r="B758" s="141" t="s">
        <v>4325</v>
      </c>
      <c r="C758" s="142">
        <v>41201</v>
      </c>
      <c r="D758" s="141">
        <v>1181</v>
      </c>
      <c r="E758" s="141" t="str">
        <f t="shared" si="64"/>
        <v>001</v>
      </c>
      <c r="F758" s="141" t="s">
        <v>4326</v>
      </c>
      <c r="G758" s="141" t="str">
        <f t="shared" si="69"/>
        <v>0360</v>
      </c>
      <c r="H758" s="141" t="s">
        <v>2384</v>
      </c>
      <c r="I758" s="141" t="str">
        <f t="shared" si="65"/>
        <v>999</v>
      </c>
      <c r="J758" s="141" t="s">
        <v>4327</v>
      </c>
      <c r="K758" s="141">
        <v>3163</v>
      </c>
      <c r="L758" s="141">
        <v>1</v>
      </c>
      <c r="M758" s="141">
        <v>0</v>
      </c>
      <c r="N758" s="141">
        <v>7000</v>
      </c>
      <c r="O758" s="141" t="s">
        <v>4357</v>
      </c>
      <c r="P758" s="141" t="s">
        <v>4414</v>
      </c>
    </row>
    <row r="759" spans="1:16" ht="25.5">
      <c r="A759" s="141">
        <v>76807</v>
      </c>
      <c r="B759" s="141" t="s">
        <v>4325</v>
      </c>
      <c r="C759" s="142">
        <v>41201</v>
      </c>
      <c r="D759" s="141">
        <v>1181</v>
      </c>
      <c r="E759" s="141" t="str">
        <f t="shared" si="64"/>
        <v>001</v>
      </c>
      <c r="F759" s="141" t="s">
        <v>4326</v>
      </c>
      <c r="G759" s="141" t="str">
        <f t="shared" si="69"/>
        <v>0360</v>
      </c>
      <c r="H759" s="141" t="s">
        <v>2384</v>
      </c>
      <c r="I759" s="141" t="str">
        <f t="shared" si="65"/>
        <v>999</v>
      </c>
      <c r="J759" s="141" t="s">
        <v>4327</v>
      </c>
      <c r="K759" s="141">
        <v>3164</v>
      </c>
      <c r="L759" s="141">
        <v>6</v>
      </c>
      <c r="M759" s="141">
        <v>0</v>
      </c>
      <c r="N759" s="141">
        <v>35000</v>
      </c>
      <c r="O759" s="141" t="s">
        <v>4357</v>
      </c>
      <c r="P759" s="141" t="s">
        <v>4444</v>
      </c>
    </row>
    <row r="760" spans="1:16" ht="25.5">
      <c r="A760" s="141">
        <v>76807</v>
      </c>
      <c r="B760" s="141" t="s">
        <v>4325</v>
      </c>
      <c r="C760" s="142">
        <v>41201</v>
      </c>
      <c r="D760" s="141">
        <v>1181</v>
      </c>
      <c r="E760" s="141" t="str">
        <f t="shared" si="64"/>
        <v>001</v>
      </c>
      <c r="F760" s="141" t="s">
        <v>4326</v>
      </c>
      <c r="G760" s="141" t="str">
        <f t="shared" si="69"/>
        <v>0360</v>
      </c>
      <c r="H760" s="141" t="s">
        <v>2384</v>
      </c>
      <c r="I760" s="141" t="str">
        <f t="shared" si="65"/>
        <v>999</v>
      </c>
      <c r="J760" s="141" t="s">
        <v>4327</v>
      </c>
      <c r="K760" s="141">
        <v>3165</v>
      </c>
      <c r="L760" s="141">
        <v>5</v>
      </c>
      <c r="M760" s="141">
        <v>0</v>
      </c>
      <c r="N760" s="141">
        <v>26000</v>
      </c>
      <c r="O760" s="141" t="s">
        <v>4357</v>
      </c>
      <c r="P760" s="141" t="s">
        <v>4413</v>
      </c>
    </row>
    <row r="761" spans="1:16" ht="25.5">
      <c r="A761" s="141">
        <v>76807</v>
      </c>
      <c r="B761" s="141" t="s">
        <v>4325</v>
      </c>
      <c r="C761" s="142">
        <v>41201</v>
      </c>
      <c r="D761" s="141">
        <v>1181</v>
      </c>
      <c r="E761" s="141" t="str">
        <f t="shared" si="64"/>
        <v>001</v>
      </c>
      <c r="F761" s="141" t="s">
        <v>4326</v>
      </c>
      <c r="G761" s="141" t="str">
        <f t="shared" si="69"/>
        <v>0360</v>
      </c>
      <c r="H761" s="141" t="s">
        <v>2384</v>
      </c>
      <c r="I761" s="141" t="str">
        <f t="shared" si="65"/>
        <v>999</v>
      </c>
      <c r="J761" s="141" t="s">
        <v>4327</v>
      </c>
      <c r="K761" s="141">
        <v>3166</v>
      </c>
      <c r="L761" s="141">
        <v>1</v>
      </c>
      <c r="M761" s="141">
        <v>0</v>
      </c>
      <c r="N761" s="141">
        <v>6000</v>
      </c>
      <c r="O761" s="141" t="s">
        <v>4357</v>
      </c>
      <c r="P761" s="141" t="s">
        <v>4627</v>
      </c>
    </row>
    <row r="762" spans="1:16" ht="25.5">
      <c r="A762" s="141">
        <v>76807</v>
      </c>
      <c r="B762" s="141" t="s">
        <v>4325</v>
      </c>
      <c r="C762" s="142">
        <v>41201</v>
      </c>
      <c r="D762" s="141">
        <v>1181</v>
      </c>
      <c r="E762" s="141" t="str">
        <f t="shared" si="64"/>
        <v>001</v>
      </c>
      <c r="F762" s="141" t="s">
        <v>4326</v>
      </c>
      <c r="G762" s="141" t="str">
        <f t="shared" si="69"/>
        <v>0360</v>
      </c>
      <c r="H762" s="141" t="s">
        <v>2384</v>
      </c>
      <c r="I762" s="141" t="str">
        <f t="shared" si="65"/>
        <v>999</v>
      </c>
      <c r="J762" s="141" t="s">
        <v>4327</v>
      </c>
      <c r="K762" s="141">
        <v>3167</v>
      </c>
      <c r="L762" s="141">
        <v>1</v>
      </c>
      <c r="M762" s="141">
        <v>0</v>
      </c>
      <c r="N762" s="141">
        <v>9000</v>
      </c>
      <c r="O762" s="141" t="s">
        <v>4357</v>
      </c>
      <c r="P762" s="141" t="s">
        <v>4628</v>
      </c>
    </row>
    <row r="763" spans="1:16" ht="25.5">
      <c r="A763" s="141">
        <v>76807</v>
      </c>
      <c r="B763" s="141" t="s">
        <v>4325</v>
      </c>
      <c r="C763" s="142">
        <v>41201</v>
      </c>
      <c r="D763" s="141">
        <v>1181</v>
      </c>
      <c r="E763" s="141" t="str">
        <f t="shared" si="64"/>
        <v>001</v>
      </c>
      <c r="F763" s="141" t="s">
        <v>4326</v>
      </c>
      <c r="G763" s="141" t="str">
        <f t="shared" si="69"/>
        <v>0360</v>
      </c>
      <c r="H763" s="141" t="s">
        <v>2384</v>
      </c>
      <c r="I763" s="141" t="str">
        <f t="shared" si="65"/>
        <v>999</v>
      </c>
      <c r="J763" s="141" t="s">
        <v>4327</v>
      </c>
      <c r="K763" s="141">
        <v>3168</v>
      </c>
      <c r="L763" s="141">
        <v>1</v>
      </c>
      <c r="M763" s="141">
        <v>0</v>
      </c>
      <c r="N763" s="141">
        <v>178000</v>
      </c>
      <c r="O763" s="141" t="s">
        <v>4505</v>
      </c>
      <c r="P763" s="141" t="s">
        <v>4541</v>
      </c>
    </row>
    <row r="764" spans="1:16" ht="25.5">
      <c r="A764" s="141">
        <v>76807</v>
      </c>
      <c r="B764" s="141" t="s">
        <v>4325</v>
      </c>
      <c r="C764" s="142">
        <v>41201</v>
      </c>
      <c r="D764" s="141">
        <v>1181</v>
      </c>
      <c r="E764" s="141" t="str">
        <f t="shared" si="64"/>
        <v>001</v>
      </c>
      <c r="F764" s="141" t="s">
        <v>4326</v>
      </c>
      <c r="G764" s="141" t="str">
        <f t="shared" si="69"/>
        <v>0360</v>
      </c>
      <c r="H764" s="141" t="s">
        <v>2384</v>
      </c>
      <c r="I764" s="141" t="str">
        <f t="shared" si="65"/>
        <v>999</v>
      </c>
      <c r="J764" s="141" t="s">
        <v>4327</v>
      </c>
      <c r="K764" s="141">
        <v>3169</v>
      </c>
      <c r="L764" s="141">
        <v>1</v>
      </c>
      <c r="M764" s="141">
        <v>0</v>
      </c>
      <c r="N764" s="141">
        <v>90000</v>
      </c>
      <c r="O764" s="141" t="s">
        <v>4458</v>
      </c>
      <c r="P764" s="141" t="s">
        <v>4459</v>
      </c>
    </row>
    <row r="765" spans="1:16" ht="25.5">
      <c r="A765" s="141">
        <v>76807</v>
      </c>
      <c r="B765" s="141" t="s">
        <v>4325</v>
      </c>
      <c r="C765" s="142">
        <v>41201</v>
      </c>
      <c r="D765" s="141">
        <v>1181</v>
      </c>
      <c r="E765" s="141" t="str">
        <f t="shared" si="64"/>
        <v>001</v>
      </c>
      <c r="F765" s="141" t="s">
        <v>4326</v>
      </c>
      <c r="G765" s="141" t="str">
        <f t="shared" si="69"/>
        <v>0360</v>
      </c>
      <c r="H765" s="141" t="s">
        <v>2384</v>
      </c>
      <c r="I765" s="141" t="str">
        <f t="shared" si="65"/>
        <v>999</v>
      </c>
      <c r="J765" s="141" t="s">
        <v>4327</v>
      </c>
      <c r="K765" s="141">
        <v>3170</v>
      </c>
      <c r="L765" s="141">
        <v>14</v>
      </c>
      <c r="M765" s="141">
        <v>0</v>
      </c>
      <c r="N765" s="141">
        <v>88000</v>
      </c>
      <c r="O765" s="141" t="s">
        <v>4500</v>
      </c>
      <c r="P765" s="141"/>
    </row>
    <row r="766" spans="1:16" ht="25.5">
      <c r="A766" s="141">
        <v>76807</v>
      </c>
      <c r="B766" s="141" t="s">
        <v>4325</v>
      </c>
      <c r="C766" s="142">
        <v>41201</v>
      </c>
      <c r="D766" s="141">
        <v>1181</v>
      </c>
      <c r="E766" s="141" t="str">
        <f t="shared" si="64"/>
        <v>001</v>
      </c>
      <c r="F766" s="141" t="s">
        <v>4326</v>
      </c>
      <c r="G766" s="141" t="str">
        <f t="shared" si="69"/>
        <v>0360</v>
      </c>
      <c r="H766" s="141" t="s">
        <v>2384</v>
      </c>
      <c r="I766" s="141" t="str">
        <f t="shared" si="65"/>
        <v>999</v>
      </c>
      <c r="J766" s="141" t="s">
        <v>4327</v>
      </c>
      <c r="K766" s="141">
        <v>3171</v>
      </c>
      <c r="L766" s="141">
        <v>2</v>
      </c>
      <c r="M766" s="141">
        <v>0</v>
      </c>
      <c r="N766" s="141">
        <v>8000</v>
      </c>
      <c r="O766" s="141" t="s">
        <v>4500</v>
      </c>
      <c r="P766" s="141"/>
    </row>
    <row r="767" spans="1:16" ht="25.5">
      <c r="A767" s="141">
        <v>76807</v>
      </c>
      <c r="B767" s="141" t="s">
        <v>4325</v>
      </c>
      <c r="C767" s="142">
        <v>41201</v>
      </c>
      <c r="D767" s="141">
        <v>1181</v>
      </c>
      <c r="E767" s="141" t="str">
        <f t="shared" si="64"/>
        <v>001</v>
      </c>
      <c r="F767" s="141" t="s">
        <v>4326</v>
      </c>
      <c r="G767" s="141" t="str">
        <f t="shared" si="69"/>
        <v>0360</v>
      </c>
      <c r="H767" s="141" t="s">
        <v>2384</v>
      </c>
      <c r="I767" s="141" t="str">
        <f t="shared" si="65"/>
        <v>999</v>
      </c>
      <c r="J767" s="141" t="s">
        <v>4327</v>
      </c>
      <c r="K767" s="141">
        <v>3172</v>
      </c>
      <c r="L767" s="141">
        <v>1</v>
      </c>
      <c r="M767" s="141">
        <v>0</v>
      </c>
      <c r="N767" s="141">
        <v>4000</v>
      </c>
      <c r="O767" s="141" t="s">
        <v>4406</v>
      </c>
      <c r="P767" s="141"/>
    </row>
    <row r="768" spans="1:16" ht="25.5">
      <c r="A768" s="141">
        <v>76807</v>
      </c>
      <c r="B768" s="141" t="s">
        <v>4325</v>
      </c>
      <c r="C768" s="142">
        <v>41201</v>
      </c>
      <c r="D768" s="141">
        <v>1181</v>
      </c>
      <c r="E768" s="141" t="str">
        <f t="shared" si="64"/>
        <v>001</v>
      </c>
      <c r="F768" s="141" t="s">
        <v>4326</v>
      </c>
      <c r="G768" s="141" t="str">
        <f t="shared" si="69"/>
        <v>0360</v>
      </c>
      <c r="H768" s="141" t="s">
        <v>2384</v>
      </c>
      <c r="I768" s="141" t="str">
        <f t="shared" si="65"/>
        <v>999</v>
      </c>
      <c r="J768" s="141" t="s">
        <v>4327</v>
      </c>
      <c r="K768" s="141">
        <v>3173</v>
      </c>
      <c r="L768" s="141">
        <v>7</v>
      </c>
      <c r="M768" s="141">
        <v>0</v>
      </c>
      <c r="N768" s="141">
        <v>45000</v>
      </c>
      <c r="O768" s="141" t="s">
        <v>4407</v>
      </c>
      <c r="P768" s="141"/>
    </row>
    <row r="769" spans="1:16" ht="25.5">
      <c r="A769" s="141">
        <v>76807</v>
      </c>
      <c r="B769" s="141" t="s">
        <v>4325</v>
      </c>
      <c r="C769" s="142">
        <v>41201</v>
      </c>
      <c r="D769" s="141">
        <v>1181</v>
      </c>
      <c r="E769" s="141" t="str">
        <f t="shared" si="64"/>
        <v>001</v>
      </c>
      <c r="F769" s="141" t="s">
        <v>4326</v>
      </c>
      <c r="G769" s="141" t="str">
        <f t="shared" si="69"/>
        <v>0360</v>
      </c>
      <c r="H769" s="141" t="s">
        <v>2384</v>
      </c>
      <c r="I769" s="141" t="str">
        <f t="shared" si="65"/>
        <v>999</v>
      </c>
      <c r="J769" s="141" t="s">
        <v>4327</v>
      </c>
      <c r="K769" s="141">
        <v>3174</v>
      </c>
      <c r="L769" s="141">
        <v>1</v>
      </c>
      <c r="M769" s="141">
        <v>0</v>
      </c>
      <c r="N769" s="141">
        <v>6000</v>
      </c>
      <c r="O769" s="141" t="s">
        <v>4337</v>
      </c>
      <c r="P769" s="141" t="s">
        <v>4629</v>
      </c>
    </row>
    <row r="770" spans="1:16" ht="25.5">
      <c r="A770" s="141">
        <v>76807</v>
      </c>
      <c r="B770" s="141" t="s">
        <v>4325</v>
      </c>
      <c r="C770" s="142">
        <v>41201</v>
      </c>
      <c r="D770" s="141">
        <v>1181</v>
      </c>
      <c r="E770" s="141" t="str">
        <f t="shared" ref="E770:E833" si="70">"001"</f>
        <v>001</v>
      </c>
      <c r="F770" s="141" t="s">
        <v>4326</v>
      </c>
      <c r="G770" s="141" t="str">
        <f t="shared" si="69"/>
        <v>0360</v>
      </c>
      <c r="H770" s="141" t="s">
        <v>2384</v>
      </c>
      <c r="I770" s="141" t="str">
        <f t="shared" ref="I770:I833" si="71">"999"</f>
        <v>999</v>
      </c>
      <c r="J770" s="141" t="s">
        <v>4327</v>
      </c>
      <c r="K770" s="141">
        <v>3175</v>
      </c>
      <c r="L770" s="141">
        <v>1</v>
      </c>
      <c r="M770" s="141">
        <v>0</v>
      </c>
      <c r="N770" s="141">
        <v>3000</v>
      </c>
      <c r="O770" s="141" t="s">
        <v>4405</v>
      </c>
      <c r="P770" s="141" t="s">
        <v>4372</v>
      </c>
    </row>
    <row r="771" spans="1:16" ht="25.5">
      <c r="A771" s="141">
        <v>76807</v>
      </c>
      <c r="B771" s="141" t="s">
        <v>4325</v>
      </c>
      <c r="C771" s="142">
        <v>41201</v>
      </c>
      <c r="D771" s="141">
        <v>1181</v>
      </c>
      <c r="E771" s="141" t="str">
        <f t="shared" si="70"/>
        <v>001</v>
      </c>
      <c r="F771" s="141" t="s">
        <v>4326</v>
      </c>
      <c r="G771" s="141" t="str">
        <f t="shared" si="69"/>
        <v>0360</v>
      </c>
      <c r="H771" s="141" t="s">
        <v>2384</v>
      </c>
      <c r="I771" s="141" t="str">
        <f t="shared" si="71"/>
        <v>999</v>
      </c>
      <c r="J771" s="141" t="s">
        <v>4327</v>
      </c>
      <c r="K771" s="141">
        <v>3176</v>
      </c>
      <c r="L771" s="141">
        <v>1</v>
      </c>
      <c r="M771" s="141">
        <v>0</v>
      </c>
      <c r="N771" s="141">
        <v>3000</v>
      </c>
      <c r="O771" s="141" t="s">
        <v>4405</v>
      </c>
      <c r="P771" s="141" t="s">
        <v>4372</v>
      </c>
    </row>
    <row r="772" spans="1:16" ht="25.5">
      <c r="A772" s="141">
        <v>76807</v>
      </c>
      <c r="B772" s="141" t="s">
        <v>4325</v>
      </c>
      <c r="C772" s="142">
        <v>41201</v>
      </c>
      <c r="D772" s="141">
        <v>1181</v>
      </c>
      <c r="E772" s="141" t="str">
        <f t="shared" si="70"/>
        <v>001</v>
      </c>
      <c r="F772" s="141" t="s">
        <v>4326</v>
      </c>
      <c r="G772" s="141" t="str">
        <f t="shared" si="69"/>
        <v>0360</v>
      </c>
      <c r="H772" s="141" t="s">
        <v>2384</v>
      </c>
      <c r="I772" s="141" t="str">
        <f t="shared" si="71"/>
        <v>999</v>
      </c>
      <c r="J772" s="141" t="s">
        <v>4327</v>
      </c>
      <c r="K772" s="141">
        <v>3177</v>
      </c>
      <c r="L772" s="141">
        <v>1</v>
      </c>
      <c r="M772" s="141">
        <v>0</v>
      </c>
      <c r="N772" s="141">
        <v>3000</v>
      </c>
      <c r="O772" s="141" t="s">
        <v>4405</v>
      </c>
      <c r="P772" s="141" t="s">
        <v>4372</v>
      </c>
    </row>
    <row r="773" spans="1:16" ht="25.5">
      <c r="A773" s="141">
        <v>76807</v>
      </c>
      <c r="B773" s="141" t="s">
        <v>4325</v>
      </c>
      <c r="C773" s="142">
        <v>41201</v>
      </c>
      <c r="D773" s="141">
        <v>1181</v>
      </c>
      <c r="E773" s="141" t="str">
        <f t="shared" si="70"/>
        <v>001</v>
      </c>
      <c r="F773" s="141" t="s">
        <v>4326</v>
      </c>
      <c r="G773" s="141" t="str">
        <f t="shared" si="69"/>
        <v>0360</v>
      </c>
      <c r="H773" s="141" t="s">
        <v>2384</v>
      </c>
      <c r="I773" s="141" t="str">
        <f t="shared" si="71"/>
        <v>999</v>
      </c>
      <c r="J773" s="141" t="s">
        <v>4327</v>
      </c>
      <c r="K773" s="141">
        <v>3178</v>
      </c>
      <c r="L773" s="141">
        <v>1</v>
      </c>
      <c r="M773" s="141">
        <v>0</v>
      </c>
      <c r="N773" s="141">
        <v>3000</v>
      </c>
      <c r="O773" s="141" t="s">
        <v>4405</v>
      </c>
      <c r="P773" s="141" t="s">
        <v>4372</v>
      </c>
    </row>
    <row r="774" spans="1:16" ht="25.5">
      <c r="A774" s="141">
        <v>76807</v>
      </c>
      <c r="B774" s="141" t="s">
        <v>4325</v>
      </c>
      <c r="C774" s="142">
        <v>41201</v>
      </c>
      <c r="D774" s="141">
        <v>1181</v>
      </c>
      <c r="E774" s="141" t="str">
        <f t="shared" si="70"/>
        <v>001</v>
      </c>
      <c r="F774" s="141" t="s">
        <v>4326</v>
      </c>
      <c r="G774" s="141" t="str">
        <f t="shared" si="69"/>
        <v>0360</v>
      </c>
      <c r="H774" s="141" t="s">
        <v>2384</v>
      </c>
      <c r="I774" s="141" t="str">
        <f t="shared" si="71"/>
        <v>999</v>
      </c>
      <c r="J774" s="141" t="s">
        <v>4327</v>
      </c>
      <c r="K774" s="141">
        <v>3179</v>
      </c>
      <c r="L774" s="141">
        <v>1</v>
      </c>
      <c r="M774" s="141">
        <v>0</v>
      </c>
      <c r="N774" s="141">
        <v>3000</v>
      </c>
      <c r="O774" s="141" t="s">
        <v>4405</v>
      </c>
      <c r="P774" s="141" t="s">
        <v>4372</v>
      </c>
    </row>
    <row r="775" spans="1:16" ht="25.5">
      <c r="A775" s="141">
        <v>76807</v>
      </c>
      <c r="B775" s="141" t="s">
        <v>4325</v>
      </c>
      <c r="C775" s="142">
        <v>41201</v>
      </c>
      <c r="D775" s="141">
        <v>1181</v>
      </c>
      <c r="E775" s="141" t="str">
        <f t="shared" si="70"/>
        <v>001</v>
      </c>
      <c r="F775" s="141" t="s">
        <v>4326</v>
      </c>
      <c r="G775" s="141" t="str">
        <f t="shared" si="69"/>
        <v>0360</v>
      </c>
      <c r="H775" s="141" t="s">
        <v>2384</v>
      </c>
      <c r="I775" s="141" t="str">
        <f t="shared" si="71"/>
        <v>999</v>
      </c>
      <c r="J775" s="141" t="s">
        <v>4327</v>
      </c>
      <c r="K775" s="141">
        <v>3180</v>
      </c>
      <c r="L775" s="141">
        <v>1</v>
      </c>
      <c r="M775" s="141">
        <v>0</v>
      </c>
      <c r="N775" s="141">
        <v>3000</v>
      </c>
      <c r="O775" s="141" t="s">
        <v>4405</v>
      </c>
      <c r="P775" s="141" t="s">
        <v>4372</v>
      </c>
    </row>
    <row r="776" spans="1:16" ht="25.5">
      <c r="A776" s="141">
        <v>76807</v>
      </c>
      <c r="B776" s="141" t="s">
        <v>4325</v>
      </c>
      <c r="C776" s="142">
        <v>41201</v>
      </c>
      <c r="D776" s="141">
        <v>1181</v>
      </c>
      <c r="E776" s="141" t="str">
        <f t="shared" si="70"/>
        <v>001</v>
      </c>
      <c r="F776" s="141" t="s">
        <v>4326</v>
      </c>
      <c r="G776" s="141" t="str">
        <f t="shared" si="69"/>
        <v>0360</v>
      </c>
      <c r="H776" s="141" t="s">
        <v>2384</v>
      </c>
      <c r="I776" s="141" t="str">
        <f t="shared" si="71"/>
        <v>999</v>
      </c>
      <c r="J776" s="141" t="s">
        <v>4327</v>
      </c>
      <c r="K776" s="141">
        <v>3181</v>
      </c>
      <c r="L776" s="141">
        <v>1</v>
      </c>
      <c r="M776" s="141">
        <v>0</v>
      </c>
      <c r="N776" s="141">
        <v>3000</v>
      </c>
      <c r="O776" s="141" t="s">
        <v>4405</v>
      </c>
      <c r="P776" s="141" t="s">
        <v>4372</v>
      </c>
    </row>
    <row r="777" spans="1:16" ht="25.5">
      <c r="A777" s="141">
        <v>76807</v>
      </c>
      <c r="B777" s="141" t="s">
        <v>4325</v>
      </c>
      <c r="C777" s="142">
        <v>41201</v>
      </c>
      <c r="D777" s="141">
        <v>1181</v>
      </c>
      <c r="E777" s="141" t="str">
        <f t="shared" si="70"/>
        <v>001</v>
      </c>
      <c r="F777" s="141" t="s">
        <v>4326</v>
      </c>
      <c r="G777" s="141" t="str">
        <f t="shared" si="69"/>
        <v>0360</v>
      </c>
      <c r="H777" s="141" t="s">
        <v>2384</v>
      </c>
      <c r="I777" s="141" t="str">
        <f t="shared" si="71"/>
        <v>999</v>
      </c>
      <c r="J777" s="141" t="s">
        <v>4327</v>
      </c>
      <c r="K777" s="141">
        <v>3182</v>
      </c>
      <c r="L777" s="141">
        <v>1</v>
      </c>
      <c r="M777" s="141">
        <v>0</v>
      </c>
      <c r="N777" s="141">
        <v>3000</v>
      </c>
      <c r="O777" s="141" t="s">
        <v>4405</v>
      </c>
      <c r="P777" s="141" t="s">
        <v>4372</v>
      </c>
    </row>
    <row r="778" spans="1:16" ht="25.5">
      <c r="A778" s="141">
        <v>76807</v>
      </c>
      <c r="B778" s="141" t="s">
        <v>4325</v>
      </c>
      <c r="C778" s="142">
        <v>41201</v>
      </c>
      <c r="D778" s="141">
        <v>1181</v>
      </c>
      <c r="E778" s="141" t="str">
        <f t="shared" si="70"/>
        <v>001</v>
      </c>
      <c r="F778" s="141" t="s">
        <v>4326</v>
      </c>
      <c r="G778" s="141" t="str">
        <f t="shared" si="69"/>
        <v>0360</v>
      </c>
      <c r="H778" s="141" t="s">
        <v>2384</v>
      </c>
      <c r="I778" s="141" t="str">
        <f t="shared" si="71"/>
        <v>999</v>
      </c>
      <c r="J778" s="141" t="s">
        <v>4327</v>
      </c>
      <c r="K778" s="141">
        <v>3183</v>
      </c>
      <c r="L778" s="141">
        <v>1</v>
      </c>
      <c r="M778" s="141">
        <v>0</v>
      </c>
      <c r="N778" s="141">
        <v>3000</v>
      </c>
      <c r="O778" s="141" t="s">
        <v>4405</v>
      </c>
      <c r="P778" s="141" t="s">
        <v>4372</v>
      </c>
    </row>
    <row r="779" spans="1:16" ht="25.5">
      <c r="A779" s="141">
        <v>76807</v>
      </c>
      <c r="B779" s="141" t="s">
        <v>4325</v>
      </c>
      <c r="C779" s="142">
        <v>41201</v>
      </c>
      <c r="D779" s="141">
        <v>1181</v>
      </c>
      <c r="E779" s="141" t="str">
        <f t="shared" si="70"/>
        <v>001</v>
      </c>
      <c r="F779" s="141" t="s">
        <v>4326</v>
      </c>
      <c r="G779" s="141" t="str">
        <f t="shared" si="69"/>
        <v>0360</v>
      </c>
      <c r="H779" s="141" t="s">
        <v>2384</v>
      </c>
      <c r="I779" s="141" t="str">
        <f t="shared" si="71"/>
        <v>999</v>
      </c>
      <c r="J779" s="141" t="s">
        <v>4327</v>
      </c>
      <c r="K779" s="141">
        <v>3184</v>
      </c>
      <c r="L779" s="141">
        <v>1</v>
      </c>
      <c r="M779" s="141">
        <v>0</v>
      </c>
      <c r="N779" s="141">
        <v>3000</v>
      </c>
      <c r="O779" s="141" t="s">
        <v>4405</v>
      </c>
      <c r="P779" s="141" t="s">
        <v>4372</v>
      </c>
    </row>
    <row r="780" spans="1:16" ht="25.5">
      <c r="A780" s="141">
        <v>76807</v>
      </c>
      <c r="B780" s="141" t="s">
        <v>4325</v>
      </c>
      <c r="C780" s="142">
        <v>41201</v>
      </c>
      <c r="D780" s="141">
        <v>1181</v>
      </c>
      <c r="E780" s="141" t="str">
        <f t="shared" si="70"/>
        <v>001</v>
      </c>
      <c r="F780" s="141" t="s">
        <v>4326</v>
      </c>
      <c r="G780" s="141" t="str">
        <f t="shared" si="69"/>
        <v>0360</v>
      </c>
      <c r="H780" s="141" t="s">
        <v>2384</v>
      </c>
      <c r="I780" s="141" t="str">
        <f t="shared" si="71"/>
        <v>999</v>
      </c>
      <c r="J780" s="141" t="s">
        <v>4327</v>
      </c>
      <c r="K780" s="141">
        <v>3185</v>
      </c>
      <c r="L780" s="141">
        <v>1</v>
      </c>
      <c r="M780" s="141">
        <v>0</v>
      </c>
      <c r="N780" s="141">
        <v>3000</v>
      </c>
      <c r="O780" s="141" t="s">
        <v>4405</v>
      </c>
      <c r="P780" s="141" t="s">
        <v>4372</v>
      </c>
    </row>
    <row r="781" spans="1:16" ht="25.5">
      <c r="A781" s="141">
        <v>76807</v>
      </c>
      <c r="B781" s="141" t="s">
        <v>4325</v>
      </c>
      <c r="C781" s="142">
        <v>41201</v>
      </c>
      <c r="D781" s="141">
        <v>1181</v>
      </c>
      <c r="E781" s="141" t="str">
        <f t="shared" si="70"/>
        <v>001</v>
      </c>
      <c r="F781" s="141" t="s">
        <v>4326</v>
      </c>
      <c r="G781" s="141" t="str">
        <f t="shared" si="69"/>
        <v>0360</v>
      </c>
      <c r="H781" s="141" t="s">
        <v>2384</v>
      </c>
      <c r="I781" s="141" t="str">
        <f t="shared" si="71"/>
        <v>999</v>
      </c>
      <c r="J781" s="141" t="s">
        <v>4327</v>
      </c>
      <c r="K781" s="141">
        <v>3186</v>
      </c>
      <c r="L781" s="141">
        <v>1</v>
      </c>
      <c r="M781" s="141">
        <v>0</v>
      </c>
      <c r="N781" s="141">
        <v>3000</v>
      </c>
      <c r="O781" s="141" t="s">
        <v>4405</v>
      </c>
      <c r="P781" s="141" t="s">
        <v>4372</v>
      </c>
    </row>
    <row r="782" spans="1:16" ht="25.5">
      <c r="A782" s="141">
        <v>76807</v>
      </c>
      <c r="B782" s="141" t="s">
        <v>4325</v>
      </c>
      <c r="C782" s="142">
        <v>41201</v>
      </c>
      <c r="D782" s="141">
        <v>1181</v>
      </c>
      <c r="E782" s="141" t="str">
        <f t="shared" si="70"/>
        <v>001</v>
      </c>
      <c r="F782" s="141" t="s">
        <v>4326</v>
      </c>
      <c r="G782" s="141" t="str">
        <f t="shared" si="69"/>
        <v>0360</v>
      </c>
      <c r="H782" s="141" t="s">
        <v>2384</v>
      </c>
      <c r="I782" s="141" t="str">
        <f t="shared" si="71"/>
        <v>999</v>
      </c>
      <c r="J782" s="141" t="s">
        <v>4327</v>
      </c>
      <c r="K782" s="141">
        <v>3187</v>
      </c>
      <c r="L782" s="141">
        <v>1</v>
      </c>
      <c r="M782" s="141">
        <v>0</v>
      </c>
      <c r="N782" s="141">
        <v>3000</v>
      </c>
      <c r="O782" s="141" t="s">
        <v>4405</v>
      </c>
      <c r="P782" s="141" t="s">
        <v>4372</v>
      </c>
    </row>
    <row r="783" spans="1:16" ht="25.5">
      <c r="A783" s="141">
        <v>76807</v>
      </c>
      <c r="B783" s="141" t="s">
        <v>4325</v>
      </c>
      <c r="C783" s="142">
        <v>41201</v>
      </c>
      <c r="D783" s="141">
        <v>1181</v>
      </c>
      <c r="E783" s="141" t="str">
        <f t="shared" si="70"/>
        <v>001</v>
      </c>
      <c r="F783" s="141" t="s">
        <v>4326</v>
      </c>
      <c r="G783" s="141" t="str">
        <f t="shared" si="69"/>
        <v>0360</v>
      </c>
      <c r="H783" s="141" t="s">
        <v>2384</v>
      </c>
      <c r="I783" s="141" t="str">
        <f t="shared" si="71"/>
        <v>999</v>
      </c>
      <c r="J783" s="141" t="s">
        <v>4327</v>
      </c>
      <c r="K783" s="141">
        <v>3188</v>
      </c>
      <c r="L783" s="141">
        <v>1</v>
      </c>
      <c r="M783" s="141">
        <v>0</v>
      </c>
      <c r="N783" s="141">
        <v>3000</v>
      </c>
      <c r="O783" s="141" t="s">
        <v>4405</v>
      </c>
      <c r="P783" s="141" t="s">
        <v>4372</v>
      </c>
    </row>
    <row r="784" spans="1:16" ht="25.5">
      <c r="A784" s="141">
        <v>76807</v>
      </c>
      <c r="B784" s="141" t="s">
        <v>4325</v>
      </c>
      <c r="C784" s="142">
        <v>41201</v>
      </c>
      <c r="D784" s="141">
        <v>1181</v>
      </c>
      <c r="E784" s="141" t="str">
        <f t="shared" si="70"/>
        <v>001</v>
      </c>
      <c r="F784" s="141" t="s">
        <v>4326</v>
      </c>
      <c r="G784" s="141" t="str">
        <f t="shared" si="69"/>
        <v>0360</v>
      </c>
      <c r="H784" s="141" t="s">
        <v>2384</v>
      </c>
      <c r="I784" s="141" t="str">
        <f t="shared" si="71"/>
        <v>999</v>
      </c>
      <c r="J784" s="141" t="s">
        <v>4327</v>
      </c>
      <c r="K784" s="141">
        <v>3189</v>
      </c>
      <c r="L784" s="141">
        <v>1</v>
      </c>
      <c r="M784" s="141">
        <v>0</v>
      </c>
      <c r="N784" s="141">
        <v>3000</v>
      </c>
      <c r="O784" s="141" t="s">
        <v>4405</v>
      </c>
      <c r="P784" s="141" t="s">
        <v>4372</v>
      </c>
    </row>
    <row r="785" spans="1:16" ht="25.5">
      <c r="A785" s="141">
        <v>76807</v>
      </c>
      <c r="B785" s="141" t="s">
        <v>4325</v>
      </c>
      <c r="C785" s="142">
        <v>41201</v>
      </c>
      <c r="D785" s="141">
        <v>1181</v>
      </c>
      <c r="E785" s="141" t="str">
        <f t="shared" si="70"/>
        <v>001</v>
      </c>
      <c r="F785" s="141" t="s">
        <v>4326</v>
      </c>
      <c r="G785" s="141" t="str">
        <f t="shared" si="69"/>
        <v>0360</v>
      </c>
      <c r="H785" s="141" t="s">
        <v>2384</v>
      </c>
      <c r="I785" s="141" t="str">
        <f t="shared" si="71"/>
        <v>999</v>
      </c>
      <c r="J785" s="141" t="s">
        <v>4327</v>
      </c>
      <c r="K785" s="141">
        <v>3190</v>
      </c>
      <c r="L785" s="141">
        <v>1</v>
      </c>
      <c r="M785" s="141">
        <v>0</v>
      </c>
      <c r="N785" s="141">
        <v>3000</v>
      </c>
      <c r="O785" s="141" t="s">
        <v>4405</v>
      </c>
      <c r="P785" s="141" t="s">
        <v>4372</v>
      </c>
    </row>
    <row r="786" spans="1:16" ht="25.5">
      <c r="A786" s="141">
        <v>76807</v>
      </c>
      <c r="B786" s="141" t="s">
        <v>4325</v>
      </c>
      <c r="C786" s="142">
        <v>41201</v>
      </c>
      <c r="D786" s="141">
        <v>1181</v>
      </c>
      <c r="E786" s="141" t="str">
        <f t="shared" si="70"/>
        <v>001</v>
      </c>
      <c r="F786" s="141" t="s">
        <v>4326</v>
      </c>
      <c r="G786" s="141" t="str">
        <f t="shared" si="69"/>
        <v>0360</v>
      </c>
      <c r="H786" s="141" t="s">
        <v>2384</v>
      </c>
      <c r="I786" s="141" t="str">
        <f t="shared" si="71"/>
        <v>999</v>
      </c>
      <c r="J786" s="141" t="s">
        <v>4327</v>
      </c>
      <c r="K786" s="141">
        <v>3191</v>
      </c>
      <c r="L786" s="141">
        <v>1</v>
      </c>
      <c r="M786" s="141">
        <v>0</v>
      </c>
      <c r="N786" s="141">
        <v>3000</v>
      </c>
      <c r="O786" s="141" t="s">
        <v>4405</v>
      </c>
      <c r="P786" s="141" t="s">
        <v>4372</v>
      </c>
    </row>
    <row r="787" spans="1:16" ht="25.5">
      <c r="A787" s="141">
        <v>76807</v>
      </c>
      <c r="B787" s="141" t="s">
        <v>4325</v>
      </c>
      <c r="C787" s="142">
        <v>41201</v>
      </c>
      <c r="D787" s="141">
        <v>1181</v>
      </c>
      <c r="E787" s="141" t="str">
        <f t="shared" si="70"/>
        <v>001</v>
      </c>
      <c r="F787" s="141" t="s">
        <v>4326</v>
      </c>
      <c r="G787" s="141" t="str">
        <f t="shared" si="69"/>
        <v>0360</v>
      </c>
      <c r="H787" s="141" t="s">
        <v>2384</v>
      </c>
      <c r="I787" s="141" t="str">
        <f t="shared" si="71"/>
        <v>999</v>
      </c>
      <c r="J787" s="141" t="s">
        <v>4327</v>
      </c>
      <c r="K787" s="141">
        <v>3192</v>
      </c>
      <c r="L787" s="141">
        <v>1</v>
      </c>
      <c r="M787" s="141">
        <v>0</v>
      </c>
      <c r="N787" s="141">
        <v>3000</v>
      </c>
      <c r="O787" s="141" t="s">
        <v>4405</v>
      </c>
      <c r="P787" s="141" t="s">
        <v>4372</v>
      </c>
    </row>
    <row r="788" spans="1:16" ht="25.5">
      <c r="A788" s="141">
        <v>76807</v>
      </c>
      <c r="B788" s="141" t="s">
        <v>4325</v>
      </c>
      <c r="C788" s="142">
        <v>41201</v>
      </c>
      <c r="D788" s="141">
        <v>1181</v>
      </c>
      <c r="E788" s="141" t="str">
        <f t="shared" si="70"/>
        <v>001</v>
      </c>
      <c r="F788" s="141" t="s">
        <v>4326</v>
      </c>
      <c r="G788" s="141" t="str">
        <f t="shared" si="69"/>
        <v>0360</v>
      </c>
      <c r="H788" s="141" t="s">
        <v>2384</v>
      </c>
      <c r="I788" s="141" t="str">
        <f t="shared" si="71"/>
        <v>999</v>
      </c>
      <c r="J788" s="141" t="s">
        <v>4327</v>
      </c>
      <c r="K788" s="141">
        <v>3193</v>
      </c>
      <c r="L788" s="141">
        <v>1</v>
      </c>
      <c r="M788" s="141">
        <v>0</v>
      </c>
      <c r="N788" s="141">
        <v>3000</v>
      </c>
      <c r="O788" s="141" t="s">
        <v>4405</v>
      </c>
      <c r="P788" s="141" t="s">
        <v>4372</v>
      </c>
    </row>
    <row r="789" spans="1:16" ht="25.5">
      <c r="A789" s="141">
        <v>76807</v>
      </c>
      <c r="B789" s="141" t="s">
        <v>4325</v>
      </c>
      <c r="C789" s="142">
        <v>41201</v>
      </c>
      <c r="D789" s="141">
        <v>1181</v>
      </c>
      <c r="E789" s="141" t="str">
        <f t="shared" si="70"/>
        <v>001</v>
      </c>
      <c r="F789" s="141" t="s">
        <v>4326</v>
      </c>
      <c r="G789" s="141" t="str">
        <f t="shared" si="69"/>
        <v>0360</v>
      </c>
      <c r="H789" s="141" t="s">
        <v>2384</v>
      </c>
      <c r="I789" s="141" t="str">
        <f t="shared" si="71"/>
        <v>999</v>
      </c>
      <c r="J789" s="141" t="s">
        <v>4327</v>
      </c>
      <c r="K789" s="141">
        <v>3194</v>
      </c>
      <c r="L789" s="141">
        <v>1</v>
      </c>
      <c r="M789" s="141">
        <v>0</v>
      </c>
      <c r="N789" s="141">
        <v>3000</v>
      </c>
      <c r="O789" s="141" t="s">
        <v>4405</v>
      </c>
      <c r="P789" s="141" t="s">
        <v>4372</v>
      </c>
    </row>
    <row r="790" spans="1:16" ht="25.5">
      <c r="A790" s="141">
        <v>76807</v>
      </c>
      <c r="B790" s="141" t="s">
        <v>4325</v>
      </c>
      <c r="C790" s="142">
        <v>41201</v>
      </c>
      <c r="D790" s="141">
        <v>1181</v>
      </c>
      <c r="E790" s="141" t="str">
        <f t="shared" si="70"/>
        <v>001</v>
      </c>
      <c r="F790" s="141" t="s">
        <v>4326</v>
      </c>
      <c r="G790" s="141" t="str">
        <f t="shared" si="69"/>
        <v>0360</v>
      </c>
      <c r="H790" s="141" t="s">
        <v>2384</v>
      </c>
      <c r="I790" s="141" t="str">
        <f t="shared" si="71"/>
        <v>999</v>
      </c>
      <c r="J790" s="141" t="s">
        <v>4327</v>
      </c>
      <c r="K790" s="141">
        <v>3195</v>
      </c>
      <c r="L790" s="141">
        <v>6</v>
      </c>
      <c r="M790" s="141">
        <v>0</v>
      </c>
      <c r="N790" s="141">
        <v>22000</v>
      </c>
      <c r="O790" s="141" t="s">
        <v>4630</v>
      </c>
      <c r="P790" s="141"/>
    </row>
    <row r="791" spans="1:16" ht="25.5">
      <c r="A791" s="141">
        <v>76807</v>
      </c>
      <c r="B791" s="141" t="s">
        <v>4325</v>
      </c>
      <c r="C791" s="142">
        <v>41201</v>
      </c>
      <c r="D791" s="141">
        <v>1181</v>
      </c>
      <c r="E791" s="141" t="str">
        <f t="shared" si="70"/>
        <v>001</v>
      </c>
      <c r="F791" s="141" t="s">
        <v>4326</v>
      </c>
      <c r="G791" s="141" t="str">
        <f t="shared" si="69"/>
        <v>0360</v>
      </c>
      <c r="H791" s="141" t="s">
        <v>2384</v>
      </c>
      <c r="I791" s="141" t="str">
        <f t="shared" si="71"/>
        <v>999</v>
      </c>
      <c r="J791" s="141" t="s">
        <v>4327</v>
      </c>
      <c r="K791" s="141">
        <v>3196</v>
      </c>
      <c r="L791" s="141">
        <v>6</v>
      </c>
      <c r="M791" s="141">
        <v>0</v>
      </c>
      <c r="N791" s="141">
        <v>21000</v>
      </c>
      <c r="O791" s="141" t="s">
        <v>4540</v>
      </c>
      <c r="P791" s="141"/>
    </row>
    <row r="792" spans="1:16" ht="25.5">
      <c r="A792" s="141">
        <v>76807</v>
      </c>
      <c r="B792" s="141" t="s">
        <v>4325</v>
      </c>
      <c r="C792" s="142">
        <v>41201</v>
      </c>
      <c r="D792" s="141">
        <v>1181</v>
      </c>
      <c r="E792" s="141" t="str">
        <f t="shared" si="70"/>
        <v>001</v>
      </c>
      <c r="F792" s="141" t="s">
        <v>4326</v>
      </c>
      <c r="G792" s="141" t="str">
        <f t="shared" si="69"/>
        <v>0360</v>
      </c>
      <c r="H792" s="141" t="s">
        <v>2384</v>
      </c>
      <c r="I792" s="141" t="str">
        <f t="shared" si="71"/>
        <v>999</v>
      </c>
      <c r="J792" s="141" t="s">
        <v>4327</v>
      </c>
      <c r="K792" s="141">
        <v>3197</v>
      </c>
      <c r="L792" s="141">
        <v>1</v>
      </c>
      <c r="M792" s="141">
        <v>0</v>
      </c>
      <c r="N792" s="141">
        <v>33000</v>
      </c>
      <c r="O792" s="141" t="s">
        <v>4631</v>
      </c>
      <c r="P792" s="141" t="s">
        <v>4632</v>
      </c>
    </row>
    <row r="793" spans="1:16" ht="25.5">
      <c r="A793" s="141">
        <v>76807</v>
      </c>
      <c r="B793" s="141" t="s">
        <v>4325</v>
      </c>
      <c r="C793" s="142">
        <v>41201</v>
      </c>
      <c r="D793" s="141">
        <v>1181</v>
      </c>
      <c r="E793" s="141" t="str">
        <f t="shared" si="70"/>
        <v>001</v>
      </c>
      <c r="F793" s="141" t="s">
        <v>4326</v>
      </c>
      <c r="G793" s="141" t="str">
        <f t="shared" si="69"/>
        <v>0360</v>
      </c>
      <c r="H793" s="141" t="s">
        <v>2384</v>
      </c>
      <c r="I793" s="141" t="str">
        <f t="shared" si="71"/>
        <v>999</v>
      </c>
      <c r="J793" s="141" t="s">
        <v>4327</v>
      </c>
      <c r="K793" s="141">
        <v>3198</v>
      </c>
      <c r="L793" s="141">
        <v>1</v>
      </c>
      <c r="M793" s="141">
        <v>0</v>
      </c>
      <c r="N793" s="141">
        <v>101000</v>
      </c>
      <c r="O793" s="141" t="s">
        <v>4328</v>
      </c>
      <c r="P793" s="141" t="s">
        <v>4633</v>
      </c>
    </row>
    <row r="794" spans="1:16" ht="25.5">
      <c r="A794" s="141">
        <v>76807</v>
      </c>
      <c r="B794" s="141" t="s">
        <v>4325</v>
      </c>
      <c r="C794" s="142">
        <v>41201</v>
      </c>
      <c r="D794" s="141">
        <v>1181</v>
      </c>
      <c r="E794" s="141" t="str">
        <f t="shared" si="70"/>
        <v>001</v>
      </c>
      <c r="F794" s="141" t="s">
        <v>4326</v>
      </c>
      <c r="G794" s="141" t="str">
        <f t="shared" si="69"/>
        <v>0360</v>
      </c>
      <c r="H794" s="141" t="s">
        <v>2384</v>
      </c>
      <c r="I794" s="141" t="str">
        <f t="shared" si="71"/>
        <v>999</v>
      </c>
      <c r="J794" s="141" t="s">
        <v>4327</v>
      </c>
      <c r="K794" s="141">
        <v>3199</v>
      </c>
      <c r="L794" s="141">
        <v>1</v>
      </c>
      <c r="M794" s="141">
        <v>0</v>
      </c>
      <c r="N794" s="141">
        <v>8000</v>
      </c>
      <c r="O794" s="141" t="s">
        <v>4434</v>
      </c>
      <c r="P794" s="141"/>
    </row>
    <row r="795" spans="1:16" ht="25.5">
      <c r="A795" s="141">
        <v>76807</v>
      </c>
      <c r="B795" s="141" t="s">
        <v>4325</v>
      </c>
      <c r="C795" s="142">
        <v>41201</v>
      </c>
      <c r="D795" s="141">
        <v>1181</v>
      </c>
      <c r="E795" s="141" t="str">
        <f t="shared" si="70"/>
        <v>001</v>
      </c>
      <c r="F795" s="141" t="s">
        <v>4326</v>
      </c>
      <c r="G795" s="141" t="str">
        <f t="shared" si="69"/>
        <v>0360</v>
      </c>
      <c r="H795" s="141" t="s">
        <v>2384</v>
      </c>
      <c r="I795" s="141" t="str">
        <f t="shared" si="71"/>
        <v>999</v>
      </c>
      <c r="J795" s="141" t="s">
        <v>4327</v>
      </c>
      <c r="K795" s="141">
        <v>3200</v>
      </c>
      <c r="L795" s="141">
        <v>1</v>
      </c>
      <c r="M795" s="141">
        <v>0</v>
      </c>
      <c r="N795" s="141">
        <v>2000</v>
      </c>
      <c r="O795" s="141" t="s">
        <v>4341</v>
      </c>
      <c r="P795" s="141" t="s">
        <v>4634</v>
      </c>
    </row>
    <row r="796" spans="1:16" ht="25.5">
      <c r="A796" s="141">
        <v>76807</v>
      </c>
      <c r="B796" s="141" t="s">
        <v>4325</v>
      </c>
      <c r="C796" s="142">
        <v>41201</v>
      </c>
      <c r="D796" s="141">
        <v>1181</v>
      </c>
      <c r="E796" s="141" t="str">
        <f t="shared" si="70"/>
        <v>001</v>
      </c>
      <c r="F796" s="141" t="s">
        <v>4326</v>
      </c>
      <c r="G796" s="141" t="str">
        <f t="shared" si="69"/>
        <v>0360</v>
      </c>
      <c r="H796" s="141" t="s">
        <v>2384</v>
      </c>
      <c r="I796" s="141" t="str">
        <f t="shared" si="71"/>
        <v>999</v>
      </c>
      <c r="J796" s="141" t="s">
        <v>4327</v>
      </c>
      <c r="K796" s="141">
        <v>3201</v>
      </c>
      <c r="L796" s="141">
        <v>1</v>
      </c>
      <c r="M796" s="141">
        <v>0</v>
      </c>
      <c r="N796" s="141">
        <v>10000</v>
      </c>
      <c r="O796" s="141" t="s">
        <v>4405</v>
      </c>
      <c r="P796" s="141" t="s">
        <v>4635</v>
      </c>
    </row>
    <row r="797" spans="1:16" ht="25.5">
      <c r="A797" s="141">
        <v>76807</v>
      </c>
      <c r="B797" s="141" t="s">
        <v>4325</v>
      </c>
      <c r="C797" s="142">
        <v>41201</v>
      </c>
      <c r="D797" s="141">
        <v>1181</v>
      </c>
      <c r="E797" s="141" t="str">
        <f t="shared" si="70"/>
        <v>001</v>
      </c>
      <c r="F797" s="141" t="s">
        <v>4326</v>
      </c>
      <c r="G797" s="141" t="str">
        <f t="shared" si="69"/>
        <v>0360</v>
      </c>
      <c r="H797" s="141" t="s">
        <v>2384</v>
      </c>
      <c r="I797" s="141" t="str">
        <f t="shared" si="71"/>
        <v>999</v>
      </c>
      <c r="J797" s="141" t="s">
        <v>4327</v>
      </c>
      <c r="K797" s="141">
        <v>3202</v>
      </c>
      <c r="L797" s="141">
        <v>1</v>
      </c>
      <c r="M797" s="141">
        <v>0</v>
      </c>
      <c r="N797" s="141">
        <v>10000</v>
      </c>
      <c r="O797" s="141" t="s">
        <v>4405</v>
      </c>
      <c r="P797" s="141" t="s">
        <v>4635</v>
      </c>
    </row>
    <row r="798" spans="1:16" ht="25.5">
      <c r="A798" s="141">
        <v>76807</v>
      </c>
      <c r="B798" s="141" t="s">
        <v>4325</v>
      </c>
      <c r="C798" s="142">
        <v>41201</v>
      </c>
      <c r="D798" s="141">
        <v>1181</v>
      </c>
      <c r="E798" s="141" t="str">
        <f t="shared" si="70"/>
        <v>001</v>
      </c>
      <c r="F798" s="141" t="s">
        <v>4326</v>
      </c>
      <c r="G798" s="141" t="str">
        <f t="shared" si="69"/>
        <v>0360</v>
      </c>
      <c r="H798" s="141" t="s">
        <v>2384</v>
      </c>
      <c r="I798" s="141" t="str">
        <f t="shared" si="71"/>
        <v>999</v>
      </c>
      <c r="J798" s="141" t="s">
        <v>4327</v>
      </c>
      <c r="K798" s="141">
        <v>3203</v>
      </c>
      <c r="L798" s="141">
        <v>1</v>
      </c>
      <c r="M798" s="141">
        <v>0</v>
      </c>
      <c r="N798" s="141">
        <v>4000</v>
      </c>
      <c r="O798" s="141" t="s">
        <v>4330</v>
      </c>
      <c r="P798" s="141" t="s">
        <v>4348</v>
      </c>
    </row>
    <row r="799" spans="1:16" ht="25.5">
      <c r="A799" s="141">
        <v>76807</v>
      </c>
      <c r="B799" s="141" t="s">
        <v>4325</v>
      </c>
      <c r="C799" s="142">
        <v>41201</v>
      </c>
      <c r="D799" s="141">
        <v>1181</v>
      </c>
      <c r="E799" s="141" t="str">
        <f t="shared" si="70"/>
        <v>001</v>
      </c>
      <c r="F799" s="141" t="s">
        <v>4326</v>
      </c>
      <c r="G799" s="141" t="str">
        <f t="shared" si="69"/>
        <v>0360</v>
      </c>
      <c r="H799" s="141" t="s">
        <v>2384</v>
      </c>
      <c r="I799" s="141" t="str">
        <f t="shared" si="71"/>
        <v>999</v>
      </c>
      <c r="J799" s="141" t="s">
        <v>4327</v>
      </c>
      <c r="K799" s="141">
        <v>3204</v>
      </c>
      <c r="L799" s="141">
        <v>1</v>
      </c>
      <c r="M799" s="141">
        <v>0</v>
      </c>
      <c r="N799" s="141">
        <v>4000</v>
      </c>
      <c r="O799" s="141" t="s">
        <v>4330</v>
      </c>
      <c r="P799" s="141" t="s">
        <v>4348</v>
      </c>
    </row>
    <row r="800" spans="1:16" ht="25.5">
      <c r="A800" s="141">
        <v>76807</v>
      </c>
      <c r="B800" s="141" t="s">
        <v>4325</v>
      </c>
      <c r="C800" s="142">
        <v>41201</v>
      </c>
      <c r="D800" s="141">
        <v>1181</v>
      </c>
      <c r="E800" s="141" t="str">
        <f t="shared" si="70"/>
        <v>001</v>
      </c>
      <c r="F800" s="141" t="s">
        <v>4326</v>
      </c>
      <c r="G800" s="141" t="str">
        <f t="shared" si="69"/>
        <v>0360</v>
      </c>
      <c r="H800" s="141" t="s">
        <v>2384</v>
      </c>
      <c r="I800" s="141" t="str">
        <f t="shared" si="71"/>
        <v>999</v>
      </c>
      <c r="J800" s="141" t="s">
        <v>4327</v>
      </c>
      <c r="K800" s="141">
        <v>3205</v>
      </c>
      <c r="L800" s="141">
        <v>1</v>
      </c>
      <c r="M800" s="141">
        <v>0</v>
      </c>
      <c r="N800" s="141">
        <v>1000</v>
      </c>
      <c r="O800" s="141" t="s">
        <v>4344</v>
      </c>
      <c r="P800" s="141"/>
    </row>
    <row r="801" spans="1:16" ht="25.5">
      <c r="A801" s="141">
        <v>76807</v>
      </c>
      <c r="B801" s="141" t="s">
        <v>4325</v>
      </c>
      <c r="C801" s="142">
        <v>41201</v>
      </c>
      <c r="D801" s="141">
        <v>1181</v>
      </c>
      <c r="E801" s="141" t="str">
        <f t="shared" si="70"/>
        <v>001</v>
      </c>
      <c r="F801" s="141" t="s">
        <v>4326</v>
      </c>
      <c r="G801" s="141" t="str">
        <f t="shared" si="69"/>
        <v>0360</v>
      </c>
      <c r="H801" s="141" t="s">
        <v>2384</v>
      </c>
      <c r="I801" s="141" t="str">
        <f t="shared" si="71"/>
        <v>999</v>
      </c>
      <c r="J801" s="141" t="s">
        <v>4327</v>
      </c>
      <c r="K801" s="141">
        <v>3336</v>
      </c>
      <c r="L801" s="141">
        <v>1</v>
      </c>
      <c r="M801" s="141">
        <v>0</v>
      </c>
      <c r="N801" s="141">
        <v>44000</v>
      </c>
      <c r="O801" s="141" t="s">
        <v>4636</v>
      </c>
      <c r="P801" s="141"/>
    </row>
    <row r="802" spans="1:16" ht="25.5">
      <c r="A802" s="141">
        <v>76807</v>
      </c>
      <c r="B802" s="141" t="s">
        <v>4325</v>
      </c>
      <c r="C802" s="142">
        <v>41201</v>
      </c>
      <c r="D802" s="141">
        <v>378</v>
      </c>
      <c r="E802" s="141" t="str">
        <f t="shared" si="70"/>
        <v>001</v>
      </c>
      <c r="F802" s="141" t="s">
        <v>4326</v>
      </c>
      <c r="G802" s="141" t="str">
        <f t="shared" ref="G802:G813" si="72">"0362"</f>
        <v>0362</v>
      </c>
      <c r="H802" s="141" t="s">
        <v>2569</v>
      </c>
      <c r="I802" s="141" t="str">
        <f t="shared" si="71"/>
        <v>999</v>
      </c>
      <c r="J802" s="141" t="s">
        <v>4327</v>
      </c>
      <c r="K802" s="141">
        <v>872</v>
      </c>
      <c r="L802" s="141">
        <v>7</v>
      </c>
      <c r="M802" s="141">
        <v>0</v>
      </c>
      <c r="N802" s="141">
        <v>16000</v>
      </c>
      <c r="O802" s="141" t="s">
        <v>4339</v>
      </c>
      <c r="P802" s="141" t="s">
        <v>4385</v>
      </c>
    </row>
    <row r="803" spans="1:16" ht="25.5">
      <c r="A803" s="141">
        <v>76807</v>
      </c>
      <c r="B803" s="141" t="s">
        <v>4325</v>
      </c>
      <c r="C803" s="142">
        <v>41201</v>
      </c>
      <c r="D803" s="141">
        <v>378</v>
      </c>
      <c r="E803" s="141" t="str">
        <f t="shared" si="70"/>
        <v>001</v>
      </c>
      <c r="F803" s="141" t="s">
        <v>4326</v>
      </c>
      <c r="G803" s="141" t="str">
        <f t="shared" si="72"/>
        <v>0362</v>
      </c>
      <c r="H803" s="141" t="s">
        <v>2569</v>
      </c>
      <c r="I803" s="141" t="str">
        <f t="shared" si="71"/>
        <v>999</v>
      </c>
      <c r="J803" s="141" t="s">
        <v>4327</v>
      </c>
      <c r="K803" s="141">
        <v>873</v>
      </c>
      <c r="L803" s="141">
        <v>15</v>
      </c>
      <c r="M803" s="141">
        <v>0</v>
      </c>
      <c r="N803" s="141">
        <v>34000</v>
      </c>
      <c r="O803" s="141" t="s">
        <v>4339</v>
      </c>
      <c r="P803" s="141" t="s">
        <v>4385</v>
      </c>
    </row>
    <row r="804" spans="1:16" ht="25.5">
      <c r="A804" s="141">
        <v>76807</v>
      </c>
      <c r="B804" s="141" t="s">
        <v>4325</v>
      </c>
      <c r="C804" s="142">
        <v>41201</v>
      </c>
      <c r="D804" s="141">
        <v>378</v>
      </c>
      <c r="E804" s="141" t="str">
        <f t="shared" si="70"/>
        <v>001</v>
      </c>
      <c r="F804" s="141" t="s">
        <v>4326</v>
      </c>
      <c r="G804" s="141" t="str">
        <f t="shared" si="72"/>
        <v>0362</v>
      </c>
      <c r="H804" s="141" t="s">
        <v>2569</v>
      </c>
      <c r="I804" s="141" t="str">
        <f t="shared" si="71"/>
        <v>999</v>
      </c>
      <c r="J804" s="141" t="s">
        <v>4327</v>
      </c>
      <c r="K804" s="141">
        <v>874</v>
      </c>
      <c r="L804" s="141">
        <v>1</v>
      </c>
      <c r="M804" s="141">
        <v>0</v>
      </c>
      <c r="N804" s="141">
        <v>4000</v>
      </c>
      <c r="O804" s="141" t="s">
        <v>4330</v>
      </c>
      <c r="P804" s="141" t="s">
        <v>4348</v>
      </c>
    </row>
    <row r="805" spans="1:16" ht="25.5">
      <c r="A805" s="141">
        <v>76807</v>
      </c>
      <c r="B805" s="141" t="s">
        <v>4325</v>
      </c>
      <c r="C805" s="142">
        <v>41201</v>
      </c>
      <c r="D805" s="141">
        <v>378</v>
      </c>
      <c r="E805" s="141" t="str">
        <f t="shared" si="70"/>
        <v>001</v>
      </c>
      <c r="F805" s="141" t="s">
        <v>4326</v>
      </c>
      <c r="G805" s="141" t="str">
        <f t="shared" si="72"/>
        <v>0362</v>
      </c>
      <c r="H805" s="141" t="s">
        <v>2569</v>
      </c>
      <c r="I805" s="141" t="str">
        <f t="shared" si="71"/>
        <v>999</v>
      </c>
      <c r="J805" s="141" t="s">
        <v>4327</v>
      </c>
      <c r="K805" s="141">
        <v>875</v>
      </c>
      <c r="L805" s="141">
        <v>1</v>
      </c>
      <c r="M805" s="141">
        <v>0</v>
      </c>
      <c r="N805" s="141">
        <v>4000</v>
      </c>
      <c r="O805" s="141" t="s">
        <v>4330</v>
      </c>
      <c r="P805" s="141" t="s">
        <v>4348</v>
      </c>
    </row>
    <row r="806" spans="1:16" ht="25.5">
      <c r="A806" s="141">
        <v>76807</v>
      </c>
      <c r="B806" s="141" t="s">
        <v>4325</v>
      </c>
      <c r="C806" s="142">
        <v>41201</v>
      </c>
      <c r="D806" s="141">
        <v>378</v>
      </c>
      <c r="E806" s="141" t="str">
        <f t="shared" si="70"/>
        <v>001</v>
      </c>
      <c r="F806" s="141" t="s">
        <v>4326</v>
      </c>
      <c r="G806" s="141" t="str">
        <f t="shared" si="72"/>
        <v>0362</v>
      </c>
      <c r="H806" s="141" t="s">
        <v>2569</v>
      </c>
      <c r="I806" s="141" t="str">
        <f t="shared" si="71"/>
        <v>999</v>
      </c>
      <c r="J806" s="141" t="s">
        <v>4327</v>
      </c>
      <c r="K806" s="141">
        <v>876</v>
      </c>
      <c r="L806" s="141">
        <v>1</v>
      </c>
      <c r="M806" s="141">
        <v>0</v>
      </c>
      <c r="N806" s="141">
        <v>4000</v>
      </c>
      <c r="O806" s="141" t="s">
        <v>4330</v>
      </c>
      <c r="P806" s="141" t="s">
        <v>4348</v>
      </c>
    </row>
    <row r="807" spans="1:16" ht="25.5">
      <c r="A807" s="141">
        <v>76807</v>
      </c>
      <c r="B807" s="141" t="s">
        <v>4325</v>
      </c>
      <c r="C807" s="142">
        <v>41201</v>
      </c>
      <c r="D807" s="141">
        <v>378</v>
      </c>
      <c r="E807" s="141" t="str">
        <f t="shared" si="70"/>
        <v>001</v>
      </c>
      <c r="F807" s="141" t="s">
        <v>4326</v>
      </c>
      <c r="G807" s="141" t="str">
        <f t="shared" si="72"/>
        <v>0362</v>
      </c>
      <c r="H807" s="141" t="s">
        <v>2569</v>
      </c>
      <c r="I807" s="141" t="str">
        <f t="shared" si="71"/>
        <v>999</v>
      </c>
      <c r="J807" s="141" t="s">
        <v>4327</v>
      </c>
      <c r="K807" s="141">
        <v>877</v>
      </c>
      <c r="L807" s="141">
        <v>1</v>
      </c>
      <c r="M807" s="141">
        <v>0</v>
      </c>
      <c r="N807" s="141">
        <v>76000</v>
      </c>
      <c r="O807" s="141" t="s">
        <v>4637</v>
      </c>
      <c r="P807" s="141"/>
    </row>
    <row r="808" spans="1:16" ht="25.5">
      <c r="A808" s="141">
        <v>76807</v>
      </c>
      <c r="B808" s="141" t="s">
        <v>4325</v>
      </c>
      <c r="C808" s="142">
        <v>41201</v>
      </c>
      <c r="D808" s="141">
        <v>378</v>
      </c>
      <c r="E808" s="141" t="str">
        <f t="shared" si="70"/>
        <v>001</v>
      </c>
      <c r="F808" s="141" t="s">
        <v>4326</v>
      </c>
      <c r="G808" s="141" t="str">
        <f t="shared" si="72"/>
        <v>0362</v>
      </c>
      <c r="H808" s="141" t="s">
        <v>2569</v>
      </c>
      <c r="I808" s="141" t="str">
        <f t="shared" si="71"/>
        <v>999</v>
      </c>
      <c r="J808" s="141" t="s">
        <v>4327</v>
      </c>
      <c r="K808" s="141">
        <v>878</v>
      </c>
      <c r="L808" s="141">
        <v>1</v>
      </c>
      <c r="M808" s="141">
        <v>0</v>
      </c>
      <c r="N808" s="141">
        <v>264000</v>
      </c>
      <c r="O808" s="141" t="s">
        <v>4619</v>
      </c>
      <c r="P808" s="141"/>
    </row>
    <row r="809" spans="1:16" ht="25.5">
      <c r="A809" s="141">
        <v>76807</v>
      </c>
      <c r="B809" s="141" t="s">
        <v>4325</v>
      </c>
      <c r="C809" s="142">
        <v>41201</v>
      </c>
      <c r="D809" s="141">
        <v>378</v>
      </c>
      <c r="E809" s="141" t="str">
        <f t="shared" si="70"/>
        <v>001</v>
      </c>
      <c r="F809" s="141" t="s">
        <v>4326</v>
      </c>
      <c r="G809" s="141" t="str">
        <f t="shared" si="72"/>
        <v>0362</v>
      </c>
      <c r="H809" s="141" t="s">
        <v>2569</v>
      </c>
      <c r="I809" s="141" t="str">
        <f t="shared" si="71"/>
        <v>999</v>
      </c>
      <c r="J809" s="141" t="s">
        <v>4327</v>
      </c>
      <c r="K809" s="141">
        <v>879</v>
      </c>
      <c r="L809" s="141">
        <v>1</v>
      </c>
      <c r="M809" s="141">
        <v>0</v>
      </c>
      <c r="N809" s="141">
        <v>2000</v>
      </c>
      <c r="O809" s="141" t="s">
        <v>4568</v>
      </c>
      <c r="P809" s="141"/>
    </row>
    <row r="810" spans="1:16" ht="25.5">
      <c r="A810" s="141">
        <v>76807</v>
      </c>
      <c r="B810" s="141" t="s">
        <v>4325</v>
      </c>
      <c r="C810" s="142">
        <v>41201</v>
      </c>
      <c r="D810" s="141">
        <v>378</v>
      </c>
      <c r="E810" s="141" t="str">
        <f t="shared" si="70"/>
        <v>001</v>
      </c>
      <c r="F810" s="141" t="s">
        <v>4326</v>
      </c>
      <c r="G810" s="141" t="str">
        <f t="shared" si="72"/>
        <v>0362</v>
      </c>
      <c r="H810" s="141" t="s">
        <v>2569</v>
      </c>
      <c r="I810" s="141" t="str">
        <f t="shared" si="71"/>
        <v>999</v>
      </c>
      <c r="J810" s="141" t="s">
        <v>4327</v>
      </c>
      <c r="K810" s="141">
        <v>880</v>
      </c>
      <c r="L810" s="141">
        <v>1</v>
      </c>
      <c r="M810" s="141">
        <v>0</v>
      </c>
      <c r="N810" s="141">
        <v>9000</v>
      </c>
      <c r="O810" s="141" t="s">
        <v>4566</v>
      </c>
      <c r="P810" s="141"/>
    </row>
    <row r="811" spans="1:16" ht="25.5">
      <c r="A811" s="141">
        <v>76807</v>
      </c>
      <c r="B811" s="141" t="s">
        <v>4325</v>
      </c>
      <c r="C811" s="142">
        <v>41201</v>
      </c>
      <c r="D811" s="141">
        <v>378</v>
      </c>
      <c r="E811" s="141" t="str">
        <f t="shared" si="70"/>
        <v>001</v>
      </c>
      <c r="F811" s="141" t="s">
        <v>4326</v>
      </c>
      <c r="G811" s="141" t="str">
        <f t="shared" si="72"/>
        <v>0362</v>
      </c>
      <c r="H811" s="141" t="s">
        <v>2569</v>
      </c>
      <c r="I811" s="141" t="str">
        <f t="shared" si="71"/>
        <v>999</v>
      </c>
      <c r="J811" s="141" t="s">
        <v>4327</v>
      </c>
      <c r="K811" s="141">
        <v>881</v>
      </c>
      <c r="L811" s="141">
        <v>1</v>
      </c>
      <c r="M811" s="141">
        <v>0</v>
      </c>
      <c r="N811" s="141">
        <v>39000</v>
      </c>
      <c r="O811" s="141" t="s">
        <v>4567</v>
      </c>
      <c r="P811" s="141"/>
    </row>
    <row r="812" spans="1:16" ht="25.5">
      <c r="A812" s="141">
        <v>76807</v>
      </c>
      <c r="B812" s="141" t="s">
        <v>4325</v>
      </c>
      <c r="C812" s="142">
        <v>41201</v>
      </c>
      <c r="D812" s="141">
        <v>378</v>
      </c>
      <c r="E812" s="141" t="str">
        <f t="shared" si="70"/>
        <v>001</v>
      </c>
      <c r="F812" s="141" t="s">
        <v>4326</v>
      </c>
      <c r="G812" s="141" t="str">
        <f t="shared" si="72"/>
        <v>0362</v>
      </c>
      <c r="H812" s="141" t="s">
        <v>2569</v>
      </c>
      <c r="I812" s="141" t="str">
        <f t="shared" si="71"/>
        <v>999</v>
      </c>
      <c r="J812" s="141" t="s">
        <v>4327</v>
      </c>
      <c r="K812" s="141">
        <v>882</v>
      </c>
      <c r="L812" s="141">
        <v>1</v>
      </c>
      <c r="M812" s="141">
        <v>0</v>
      </c>
      <c r="N812" s="141">
        <v>8000</v>
      </c>
      <c r="O812" s="141" t="s">
        <v>4568</v>
      </c>
      <c r="P812" s="141"/>
    </row>
    <row r="813" spans="1:16" ht="25.5">
      <c r="A813" s="141">
        <v>76807</v>
      </c>
      <c r="B813" s="141" t="s">
        <v>4325</v>
      </c>
      <c r="C813" s="142">
        <v>41201</v>
      </c>
      <c r="D813" s="141">
        <v>378</v>
      </c>
      <c r="E813" s="141" t="str">
        <f t="shared" si="70"/>
        <v>001</v>
      </c>
      <c r="F813" s="141" t="s">
        <v>4326</v>
      </c>
      <c r="G813" s="141" t="str">
        <f t="shared" si="72"/>
        <v>0362</v>
      </c>
      <c r="H813" s="141" t="s">
        <v>2569</v>
      </c>
      <c r="I813" s="141" t="str">
        <f t="shared" si="71"/>
        <v>999</v>
      </c>
      <c r="J813" s="141" t="s">
        <v>4327</v>
      </c>
      <c r="K813" s="141">
        <v>883</v>
      </c>
      <c r="L813" s="141">
        <v>1</v>
      </c>
      <c r="M813" s="141">
        <v>0</v>
      </c>
      <c r="N813" s="141">
        <v>193000</v>
      </c>
      <c r="O813" s="141" t="s">
        <v>4566</v>
      </c>
      <c r="P813" s="141"/>
    </row>
    <row r="814" spans="1:16" ht="25.5">
      <c r="A814" s="141">
        <v>76807</v>
      </c>
      <c r="B814" s="141" t="s">
        <v>4325</v>
      </c>
      <c r="C814" s="142">
        <v>41201</v>
      </c>
      <c r="D814" s="141">
        <v>455</v>
      </c>
      <c r="E814" s="141" t="str">
        <f t="shared" si="70"/>
        <v>001</v>
      </c>
      <c r="F814" s="141" t="s">
        <v>4326</v>
      </c>
      <c r="G814" s="141" t="str">
        <f t="shared" ref="G814:G819" si="73">"0363"</f>
        <v>0363</v>
      </c>
      <c r="H814" s="141" t="s">
        <v>1636</v>
      </c>
      <c r="I814" s="141" t="str">
        <f t="shared" si="71"/>
        <v>999</v>
      </c>
      <c r="J814" s="141" t="s">
        <v>4327</v>
      </c>
      <c r="K814" s="141">
        <v>937</v>
      </c>
      <c r="L814" s="141">
        <v>1</v>
      </c>
      <c r="M814" s="141">
        <v>0</v>
      </c>
      <c r="N814" s="141">
        <v>28000</v>
      </c>
      <c r="O814" s="141" t="s">
        <v>4337</v>
      </c>
      <c r="P814" s="141" t="s">
        <v>4638</v>
      </c>
    </row>
    <row r="815" spans="1:16" ht="25.5">
      <c r="A815" s="141">
        <v>76807</v>
      </c>
      <c r="B815" s="141" t="s">
        <v>4325</v>
      </c>
      <c r="C815" s="142">
        <v>41201</v>
      </c>
      <c r="D815" s="141">
        <v>455</v>
      </c>
      <c r="E815" s="141" t="str">
        <f t="shared" si="70"/>
        <v>001</v>
      </c>
      <c r="F815" s="141" t="s">
        <v>4326</v>
      </c>
      <c r="G815" s="141" t="str">
        <f t="shared" si="73"/>
        <v>0363</v>
      </c>
      <c r="H815" s="141" t="s">
        <v>1636</v>
      </c>
      <c r="I815" s="141" t="str">
        <f t="shared" si="71"/>
        <v>999</v>
      </c>
      <c r="J815" s="141" t="s">
        <v>4327</v>
      </c>
      <c r="K815" s="141">
        <v>938</v>
      </c>
      <c r="L815" s="141">
        <v>1</v>
      </c>
      <c r="M815" s="141">
        <v>0</v>
      </c>
      <c r="N815" s="141">
        <v>2000</v>
      </c>
      <c r="O815" s="141" t="s">
        <v>4330</v>
      </c>
      <c r="P815" s="141" t="s">
        <v>4443</v>
      </c>
    </row>
    <row r="816" spans="1:16" ht="25.5">
      <c r="A816" s="141">
        <v>76807</v>
      </c>
      <c r="B816" s="141" t="s">
        <v>4325</v>
      </c>
      <c r="C816" s="142">
        <v>41201</v>
      </c>
      <c r="D816" s="141">
        <v>455</v>
      </c>
      <c r="E816" s="141" t="str">
        <f t="shared" si="70"/>
        <v>001</v>
      </c>
      <c r="F816" s="141" t="s">
        <v>4326</v>
      </c>
      <c r="G816" s="141" t="str">
        <f t="shared" si="73"/>
        <v>0363</v>
      </c>
      <c r="H816" s="141" t="s">
        <v>1636</v>
      </c>
      <c r="I816" s="141" t="str">
        <f t="shared" si="71"/>
        <v>999</v>
      </c>
      <c r="J816" s="141" t="s">
        <v>4327</v>
      </c>
      <c r="K816" s="141">
        <v>939</v>
      </c>
      <c r="L816" s="141">
        <v>3</v>
      </c>
      <c r="M816" s="141">
        <v>0</v>
      </c>
      <c r="N816" s="141">
        <v>25000</v>
      </c>
      <c r="O816" s="141" t="s">
        <v>4511</v>
      </c>
      <c r="P816" s="141"/>
    </row>
    <row r="817" spans="1:16" ht="25.5">
      <c r="A817" s="141">
        <v>76807</v>
      </c>
      <c r="B817" s="141" t="s">
        <v>4325</v>
      </c>
      <c r="C817" s="142">
        <v>41201</v>
      </c>
      <c r="D817" s="141">
        <v>455</v>
      </c>
      <c r="E817" s="141" t="str">
        <f t="shared" si="70"/>
        <v>001</v>
      </c>
      <c r="F817" s="141" t="s">
        <v>4326</v>
      </c>
      <c r="G817" s="141" t="str">
        <f t="shared" si="73"/>
        <v>0363</v>
      </c>
      <c r="H817" s="141" t="s">
        <v>1636</v>
      </c>
      <c r="I817" s="141" t="str">
        <f t="shared" si="71"/>
        <v>999</v>
      </c>
      <c r="J817" s="141" t="s">
        <v>4327</v>
      </c>
      <c r="K817" s="141">
        <v>940</v>
      </c>
      <c r="L817" s="141">
        <v>3</v>
      </c>
      <c r="M817" s="141">
        <v>0</v>
      </c>
      <c r="N817" s="141">
        <v>19000</v>
      </c>
      <c r="O817" s="141" t="s">
        <v>4407</v>
      </c>
      <c r="P817" s="141"/>
    </row>
    <row r="818" spans="1:16" ht="25.5">
      <c r="A818" s="141">
        <v>76807</v>
      </c>
      <c r="B818" s="141" t="s">
        <v>4325</v>
      </c>
      <c r="C818" s="142">
        <v>41201</v>
      </c>
      <c r="D818" s="141">
        <v>455</v>
      </c>
      <c r="E818" s="141" t="str">
        <f t="shared" si="70"/>
        <v>001</v>
      </c>
      <c r="F818" s="141" t="s">
        <v>4326</v>
      </c>
      <c r="G818" s="141" t="str">
        <f t="shared" si="73"/>
        <v>0363</v>
      </c>
      <c r="H818" s="141" t="s">
        <v>1636</v>
      </c>
      <c r="I818" s="141" t="str">
        <f t="shared" si="71"/>
        <v>999</v>
      </c>
      <c r="J818" s="141" t="s">
        <v>4327</v>
      </c>
      <c r="K818" s="141">
        <v>941</v>
      </c>
      <c r="L818" s="141">
        <v>2</v>
      </c>
      <c r="M818" s="141">
        <v>0</v>
      </c>
      <c r="N818" s="141">
        <v>4000</v>
      </c>
      <c r="O818" s="141" t="s">
        <v>4408</v>
      </c>
      <c r="P818" s="141"/>
    </row>
    <row r="819" spans="1:16" ht="25.5">
      <c r="A819" s="141">
        <v>76807</v>
      </c>
      <c r="B819" s="141" t="s">
        <v>4325</v>
      </c>
      <c r="C819" s="142">
        <v>41201</v>
      </c>
      <c r="D819" s="141">
        <v>455</v>
      </c>
      <c r="E819" s="141" t="str">
        <f t="shared" si="70"/>
        <v>001</v>
      </c>
      <c r="F819" s="141" t="s">
        <v>4326</v>
      </c>
      <c r="G819" s="141" t="str">
        <f t="shared" si="73"/>
        <v>0363</v>
      </c>
      <c r="H819" s="141" t="s">
        <v>1636</v>
      </c>
      <c r="I819" s="141" t="str">
        <f t="shared" si="71"/>
        <v>999</v>
      </c>
      <c r="J819" s="141" t="s">
        <v>4327</v>
      </c>
      <c r="K819" s="141">
        <v>942</v>
      </c>
      <c r="L819" s="141">
        <v>12</v>
      </c>
      <c r="M819" s="141">
        <v>0</v>
      </c>
      <c r="N819" s="141">
        <v>84000</v>
      </c>
      <c r="O819" s="141" t="s">
        <v>4339</v>
      </c>
      <c r="P819" s="141" t="s">
        <v>4477</v>
      </c>
    </row>
    <row r="820" spans="1:16" ht="25.5">
      <c r="A820" s="141">
        <v>76807</v>
      </c>
      <c r="B820" s="141" t="s">
        <v>4325</v>
      </c>
      <c r="C820" s="142">
        <v>41201</v>
      </c>
      <c r="D820" s="141">
        <v>1177</v>
      </c>
      <c r="E820" s="141" t="str">
        <f t="shared" si="70"/>
        <v>001</v>
      </c>
      <c r="F820" s="141" t="s">
        <v>4326</v>
      </c>
      <c r="G820" s="141" t="str">
        <f t="shared" ref="G820:G839" si="74">"0364"</f>
        <v>0364</v>
      </c>
      <c r="H820" s="141" t="s">
        <v>2385</v>
      </c>
      <c r="I820" s="141" t="str">
        <f t="shared" si="71"/>
        <v>999</v>
      </c>
      <c r="J820" s="141" t="s">
        <v>4327</v>
      </c>
      <c r="K820" s="141">
        <v>3107</v>
      </c>
      <c r="L820" s="141">
        <v>1</v>
      </c>
      <c r="M820" s="141">
        <v>0</v>
      </c>
      <c r="N820" s="141">
        <v>1000</v>
      </c>
      <c r="O820" s="141" t="s">
        <v>4434</v>
      </c>
      <c r="P820" s="141"/>
    </row>
    <row r="821" spans="1:16" ht="25.5">
      <c r="A821" s="141">
        <v>76807</v>
      </c>
      <c r="B821" s="141" t="s">
        <v>4325</v>
      </c>
      <c r="C821" s="142">
        <v>41201</v>
      </c>
      <c r="D821" s="141">
        <v>1177</v>
      </c>
      <c r="E821" s="141" t="str">
        <f t="shared" si="70"/>
        <v>001</v>
      </c>
      <c r="F821" s="141" t="s">
        <v>4326</v>
      </c>
      <c r="G821" s="141" t="str">
        <f t="shared" si="74"/>
        <v>0364</v>
      </c>
      <c r="H821" s="141" t="s">
        <v>2385</v>
      </c>
      <c r="I821" s="141" t="str">
        <f t="shared" si="71"/>
        <v>999</v>
      </c>
      <c r="J821" s="141" t="s">
        <v>4327</v>
      </c>
      <c r="K821" s="141">
        <v>3108</v>
      </c>
      <c r="L821" s="141">
        <v>1</v>
      </c>
      <c r="M821" s="141">
        <v>0</v>
      </c>
      <c r="N821" s="141">
        <v>1000</v>
      </c>
      <c r="O821" s="141" t="s">
        <v>4381</v>
      </c>
      <c r="P821" s="141"/>
    </row>
    <row r="822" spans="1:16" ht="25.5">
      <c r="A822" s="141">
        <v>76807</v>
      </c>
      <c r="B822" s="141" t="s">
        <v>4325</v>
      </c>
      <c r="C822" s="142">
        <v>41201</v>
      </c>
      <c r="D822" s="141">
        <v>1177</v>
      </c>
      <c r="E822" s="141" t="str">
        <f t="shared" si="70"/>
        <v>001</v>
      </c>
      <c r="F822" s="141" t="s">
        <v>4326</v>
      </c>
      <c r="G822" s="141" t="str">
        <f t="shared" si="74"/>
        <v>0364</v>
      </c>
      <c r="H822" s="141" t="s">
        <v>2385</v>
      </c>
      <c r="I822" s="141" t="str">
        <f t="shared" si="71"/>
        <v>999</v>
      </c>
      <c r="J822" s="141" t="s">
        <v>4327</v>
      </c>
      <c r="K822" s="141">
        <v>3109</v>
      </c>
      <c r="L822" s="141">
        <v>5</v>
      </c>
      <c r="M822" s="141">
        <v>0</v>
      </c>
      <c r="N822" s="141">
        <v>3000</v>
      </c>
      <c r="O822" s="141" t="s">
        <v>4350</v>
      </c>
      <c r="P822" s="141"/>
    </row>
    <row r="823" spans="1:16" ht="25.5">
      <c r="A823" s="141">
        <v>76807</v>
      </c>
      <c r="B823" s="141" t="s">
        <v>4325</v>
      </c>
      <c r="C823" s="142">
        <v>41201</v>
      </c>
      <c r="D823" s="141">
        <v>1177</v>
      </c>
      <c r="E823" s="141" t="str">
        <f t="shared" si="70"/>
        <v>001</v>
      </c>
      <c r="F823" s="141" t="s">
        <v>4326</v>
      </c>
      <c r="G823" s="141" t="str">
        <f t="shared" si="74"/>
        <v>0364</v>
      </c>
      <c r="H823" s="141" t="s">
        <v>2385</v>
      </c>
      <c r="I823" s="141" t="str">
        <f t="shared" si="71"/>
        <v>999</v>
      </c>
      <c r="J823" s="141" t="s">
        <v>4327</v>
      </c>
      <c r="K823" s="141">
        <v>3110</v>
      </c>
      <c r="L823" s="141">
        <v>1</v>
      </c>
      <c r="M823" s="141">
        <v>0</v>
      </c>
      <c r="N823" s="141">
        <v>60000</v>
      </c>
      <c r="O823" s="141" t="s">
        <v>4458</v>
      </c>
      <c r="P823" s="141" t="s">
        <v>4367</v>
      </c>
    </row>
    <row r="824" spans="1:16" ht="25.5">
      <c r="A824" s="141">
        <v>76807</v>
      </c>
      <c r="B824" s="141" t="s">
        <v>4325</v>
      </c>
      <c r="C824" s="142">
        <v>41201</v>
      </c>
      <c r="D824" s="141">
        <v>1177</v>
      </c>
      <c r="E824" s="141" t="str">
        <f t="shared" si="70"/>
        <v>001</v>
      </c>
      <c r="F824" s="141" t="s">
        <v>4326</v>
      </c>
      <c r="G824" s="141" t="str">
        <f t="shared" si="74"/>
        <v>0364</v>
      </c>
      <c r="H824" s="141" t="s">
        <v>2385</v>
      </c>
      <c r="I824" s="141" t="str">
        <f t="shared" si="71"/>
        <v>999</v>
      </c>
      <c r="J824" s="141" t="s">
        <v>4327</v>
      </c>
      <c r="K824" s="141">
        <v>3111</v>
      </c>
      <c r="L824" s="141">
        <v>1</v>
      </c>
      <c r="M824" s="141">
        <v>0</v>
      </c>
      <c r="N824" s="141">
        <v>2000</v>
      </c>
      <c r="O824" s="141" t="s">
        <v>4345</v>
      </c>
      <c r="P824" s="141"/>
    </row>
    <row r="825" spans="1:16" ht="25.5">
      <c r="A825" s="141">
        <v>76807</v>
      </c>
      <c r="B825" s="141" t="s">
        <v>4325</v>
      </c>
      <c r="C825" s="142">
        <v>41201</v>
      </c>
      <c r="D825" s="141">
        <v>1177</v>
      </c>
      <c r="E825" s="141" t="str">
        <f t="shared" si="70"/>
        <v>001</v>
      </c>
      <c r="F825" s="141" t="s">
        <v>4326</v>
      </c>
      <c r="G825" s="141" t="str">
        <f t="shared" si="74"/>
        <v>0364</v>
      </c>
      <c r="H825" s="141" t="s">
        <v>2385</v>
      </c>
      <c r="I825" s="141" t="str">
        <f t="shared" si="71"/>
        <v>999</v>
      </c>
      <c r="J825" s="141" t="s">
        <v>4327</v>
      </c>
      <c r="K825" s="141">
        <v>3112</v>
      </c>
      <c r="L825" s="141">
        <v>3</v>
      </c>
      <c r="M825" s="141">
        <v>0</v>
      </c>
      <c r="N825" s="141">
        <v>2000</v>
      </c>
      <c r="O825" s="141" t="s">
        <v>4343</v>
      </c>
      <c r="P825" s="141"/>
    </row>
    <row r="826" spans="1:16" ht="25.5">
      <c r="A826" s="141">
        <v>76807</v>
      </c>
      <c r="B826" s="141" t="s">
        <v>4325</v>
      </c>
      <c r="C826" s="142">
        <v>41201</v>
      </c>
      <c r="D826" s="141">
        <v>1177</v>
      </c>
      <c r="E826" s="141" t="str">
        <f t="shared" si="70"/>
        <v>001</v>
      </c>
      <c r="F826" s="141" t="s">
        <v>4326</v>
      </c>
      <c r="G826" s="141" t="str">
        <f t="shared" si="74"/>
        <v>0364</v>
      </c>
      <c r="H826" s="141" t="s">
        <v>2385</v>
      </c>
      <c r="I826" s="141" t="str">
        <f t="shared" si="71"/>
        <v>999</v>
      </c>
      <c r="J826" s="141" t="s">
        <v>4327</v>
      </c>
      <c r="K826" s="141">
        <v>3113</v>
      </c>
      <c r="L826" s="141">
        <v>2</v>
      </c>
      <c r="M826" s="141">
        <v>0</v>
      </c>
      <c r="N826" s="141">
        <v>13000</v>
      </c>
      <c r="O826" s="141" t="s">
        <v>4407</v>
      </c>
      <c r="P826" s="141"/>
    </row>
    <row r="827" spans="1:16" ht="25.5">
      <c r="A827" s="141">
        <v>76807</v>
      </c>
      <c r="B827" s="141" t="s">
        <v>4325</v>
      </c>
      <c r="C827" s="142">
        <v>41201</v>
      </c>
      <c r="D827" s="141">
        <v>1177</v>
      </c>
      <c r="E827" s="141" t="str">
        <f t="shared" si="70"/>
        <v>001</v>
      </c>
      <c r="F827" s="141" t="s">
        <v>4326</v>
      </c>
      <c r="G827" s="141" t="str">
        <f t="shared" si="74"/>
        <v>0364</v>
      </c>
      <c r="H827" s="141" t="s">
        <v>2385</v>
      </c>
      <c r="I827" s="141" t="str">
        <f t="shared" si="71"/>
        <v>999</v>
      </c>
      <c r="J827" s="141" t="s">
        <v>4327</v>
      </c>
      <c r="K827" s="141">
        <v>3114</v>
      </c>
      <c r="L827" s="141">
        <v>1</v>
      </c>
      <c r="M827" s="141">
        <v>0</v>
      </c>
      <c r="N827" s="141">
        <v>55000</v>
      </c>
      <c r="O827" s="141" t="s">
        <v>4341</v>
      </c>
      <c r="P827" s="141" t="s">
        <v>4639</v>
      </c>
    </row>
    <row r="828" spans="1:16" ht="25.5">
      <c r="A828" s="141">
        <v>76807</v>
      </c>
      <c r="B828" s="141" t="s">
        <v>4325</v>
      </c>
      <c r="C828" s="142">
        <v>41201</v>
      </c>
      <c r="D828" s="141">
        <v>1177</v>
      </c>
      <c r="E828" s="141" t="str">
        <f t="shared" si="70"/>
        <v>001</v>
      </c>
      <c r="F828" s="141" t="s">
        <v>4326</v>
      </c>
      <c r="G828" s="141" t="str">
        <f t="shared" si="74"/>
        <v>0364</v>
      </c>
      <c r="H828" s="141" t="s">
        <v>2385</v>
      </c>
      <c r="I828" s="141" t="str">
        <f t="shared" si="71"/>
        <v>999</v>
      </c>
      <c r="J828" s="141" t="s">
        <v>4327</v>
      </c>
      <c r="K828" s="141">
        <v>3115</v>
      </c>
      <c r="L828" s="141">
        <v>4</v>
      </c>
      <c r="M828" s="141">
        <v>0</v>
      </c>
      <c r="N828" s="141">
        <v>25000</v>
      </c>
      <c r="O828" s="141" t="s">
        <v>4500</v>
      </c>
      <c r="P828" s="141"/>
    </row>
    <row r="829" spans="1:16" ht="25.5">
      <c r="A829" s="141">
        <v>76807</v>
      </c>
      <c r="B829" s="141" t="s">
        <v>4325</v>
      </c>
      <c r="C829" s="142">
        <v>41201</v>
      </c>
      <c r="D829" s="141">
        <v>1177</v>
      </c>
      <c r="E829" s="141" t="str">
        <f t="shared" si="70"/>
        <v>001</v>
      </c>
      <c r="F829" s="141" t="s">
        <v>4326</v>
      </c>
      <c r="G829" s="141" t="str">
        <f t="shared" si="74"/>
        <v>0364</v>
      </c>
      <c r="H829" s="141" t="s">
        <v>2385</v>
      </c>
      <c r="I829" s="141" t="str">
        <f t="shared" si="71"/>
        <v>999</v>
      </c>
      <c r="J829" s="141" t="s">
        <v>4327</v>
      </c>
      <c r="K829" s="141">
        <v>3116</v>
      </c>
      <c r="L829" s="141">
        <v>1</v>
      </c>
      <c r="M829" s="141">
        <v>0</v>
      </c>
      <c r="N829" s="141">
        <v>4000</v>
      </c>
      <c r="O829" s="141" t="s">
        <v>4371</v>
      </c>
      <c r="P829" s="141" t="s">
        <v>4372</v>
      </c>
    </row>
    <row r="830" spans="1:16" ht="25.5">
      <c r="A830" s="141">
        <v>76807</v>
      </c>
      <c r="B830" s="141" t="s">
        <v>4325</v>
      </c>
      <c r="C830" s="142">
        <v>41201</v>
      </c>
      <c r="D830" s="141">
        <v>1177</v>
      </c>
      <c r="E830" s="141" t="str">
        <f t="shared" si="70"/>
        <v>001</v>
      </c>
      <c r="F830" s="141" t="s">
        <v>4326</v>
      </c>
      <c r="G830" s="141" t="str">
        <f t="shared" si="74"/>
        <v>0364</v>
      </c>
      <c r="H830" s="141" t="s">
        <v>2385</v>
      </c>
      <c r="I830" s="141" t="str">
        <f t="shared" si="71"/>
        <v>999</v>
      </c>
      <c r="J830" s="141" t="s">
        <v>4327</v>
      </c>
      <c r="K830" s="141">
        <v>3117</v>
      </c>
      <c r="L830" s="141">
        <v>1</v>
      </c>
      <c r="M830" s="141">
        <v>0</v>
      </c>
      <c r="N830" s="141">
        <v>4000</v>
      </c>
      <c r="O830" s="141" t="s">
        <v>4371</v>
      </c>
      <c r="P830" s="141" t="s">
        <v>4372</v>
      </c>
    </row>
    <row r="831" spans="1:16" ht="25.5">
      <c r="A831" s="141">
        <v>76807</v>
      </c>
      <c r="B831" s="141" t="s">
        <v>4325</v>
      </c>
      <c r="C831" s="142">
        <v>41201</v>
      </c>
      <c r="D831" s="141">
        <v>1177</v>
      </c>
      <c r="E831" s="141" t="str">
        <f t="shared" si="70"/>
        <v>001</v>
      </c>
      <c r="F831" s="141" t="s">
        <v>4326</v>
      </c>
      <c r="G831" s="141" t="str">
        <f t="shared" si="74"/>
        <v>0364</v>
      </c>
      <c r="H831" s="141" t="s">
        <v>2385</v>
      </c>
      <c r="I831" s="141" t="str">
        <f t="shared" si="71"/>
        <v>999</v>
      </c>
      <c r="J831" s="141" t="s">
        <v>4327</v>
      </c>
      <c r="K831" s="141">
        <v>3118</v>
      </c>
      <c r="L831" s="141">
        <v>1</v>
      </c>
      <c r="M831" s="141">
        <v>0</v>
      </c>
      <c r="N831" s="141">
        <v>4000</v>
      </c>
      <c r="O831" s="141" t="s">
        <v>4371</v>
      </c>
      <c r="P831" s="141" t="s">
        <v>4372</v>
      </c>
    </row>
    <row r="832" spans="1:16" ht="25.5">
      <c r="A832" s="141">
        <v>76807</v>
      </c>
      <c r="B832" s="141" t="s">
        <v>4325</v>
      </c>
      <c r="C832" s="142">
        <v>41201</v>
      </c>
      <c r="D832" s="141">
        <v>1177</v>
      </c>
      <c r="E832" s="141" t="str">
        <f t="shared" si="70"/>
        <v>001</v>
      </c>
      <c r="F832" s="141" t="s">
        <v>4326</v>
      </c>
      <c r="G832" s="141" t="str">
        <f t="shared" si="74"/>
        <v>0364</v>
      </c>
      <c r="H832" s="141" t="s">
        <v>2385</v>
      </c>
      <c r="I832" s="141" t="str">
        <f t="shared" si="71"/>
        <v>999</v>
      </c>
      <c r="J832" s="141" t="s">
        <v>4327</v>
      </c>
      <c r="K832" s="141">
        <v>3119</v>
      </c>
      <c r="L832" s="141">
        <v>1</v>
      </c>
      <c r="M832" s="141">
        <v>0</v>
      </c>
      <c r="N832" s="141">
        <v>4000</v>
      </c>
      <c r="O832" s="141" t="s">
        <v>4371</v>
      </c>
      <c r="P832" s="141" t="s">
        <v>4372</v>
      </c>
    </row>
    <row r="833" spans="1:16" ht="25.5">
      <c r="A833" s="141">
        <v>76807</v>
      </c>
      <c r="B833" s="141" t="s">
        <v>4325</v>
      </c>
      <c r="C833" s="142">
        <v>41201</v>
      </c>
      <c r="D833" s="141">
        <v>1177</v>
      </c>
      <c r="E833" s="141" t="str">
        <f t="shared" si="70"/>
        <v>001</v>
      </c>
      <c r="F833" s="141" t="s">
        <v>4326</v>
      </c>
      <c r="G833" s="141" t="str">
        <f t="shared" si="74"/>
        <v>0364</v>
      </c>
      <c r="H833" s="141" t="s">
        <v>2385</v>
      </c>
      <c r="I833" s="141" t="str">
        <f t="shared" si="71"/>
        <v>999</v>
      </c>
      <c r="J833" s="141" t="s">
        <v>4327</v>
      </c>
      <c r="K833" s="141">
        <v>3120</v>
      </c>
      <c r="L833" s="141">
        <v>1</v>
      </c>
      <c r="M833" s="141">
        <v>0</v>
      </c>
      <c r="N833" s="141">
        <v>4000</v>
      </c>
      <c r="O833" s="141" t="s">
        <v>4371</v>
      </c>
      <c r="P833" s="141" t="s">
        <v>4372</v>
      </c>
    </row>
    <row r="834" spans="1:16" ht="25.5">
      <c r="A834" s="141">
        <v>76807</v>
      </c>
      <c r="B834" s="141" t="s">
        <v>4325</v>
      </c>
      <c r="C834" s="142">
        <v>41201</v>
      </c>
      <c r="D834" s="141">
        <v>1177</v>
      </c>
      <c r="E834" s="141" t="str">
        <f t="shared" ref="E834:E897" si="75">"001"</f>
        <v>001</v>
      </c>
      <c r="F834" s="141" t="s">
        <v>4326</v>
      </c>
      <c r="G834" s="141" t="str">
        <f t="shared" si="74"/>
        <v>0364</v>
      </c>
      <c r="H834" s="141" t="s">
        <v>2385</v>
      </c>
      <c r="I834" s="141" t="str">
        <f t="shared" ref="I834:I897" si="76">"999"</f>
        <v>999</v>
      </c>
      <c r="J834" s="141" t="s">
        <v>4327</v>
      </c>
      <c r="K834" s="141">
        <v>3121</v>
      </c>
      <c r="L834" s="141">
        <v>2</v>
      </c>
      <c r="M834" s="141">
        <v>0</v>
      </c>
      <c r="N834" s="141">
        <v>21000</v>
      </c>
      <c r="O834" s="141" t="s">
        <v>4357</v>
      </c>
      <c r="P834" s="141" t="s">
        <v>4626</v>
      </c>
    </row>
    <row r="835" spans="1:16" ht="25.5">
      <c r="A835" s="141">
        <v>76807</v>
      </c>
      <c r="B835" s="141" t="s">
        <v>4325</v>
      </c>
      <c r="C835" s="142">
        <v>41201</v>
      </c>
      <c r="D835" s="141">
        <v>1177</v>
      </c>
      <c r="E835" s="141" t="str">
        <f t="shared" si="75"/>
        <v>001</v>
      </c>
      <c r="F835" s="141" t="s">
        <v>4326</v>
      </c>
      <c r="G835" s="141" t="str">
        <f t="shared" si="74"/>
        <v>0364</v>
      </c>
      <c r="H835" s="141" t="s">
        <v>2385</v>
      </c>
      <c r="I835" s="141" t="str">
        <f t="shared" si="76"/>
        <v>999</v>
      </c>
      <c r="J835" s="141" t="s">
        <v>4327</v>
      </c>
      <c r="K835" s="141">
        <v>3122</v>
      </c>
      <c r="L835" s="141">
        <v>4</v>
      </c>
      <c r="M835" s="141">
        <v>0</v>
      </c>
      <c r="N835" s="141">
        <v>37000</v>
      </c>
      <c r="O835" s="141" t="s">
        <v>4357</v>
      </c>
      <c r="P835" s="141" t="s">
        <v>4546</v>
      </c>
    </row>
    <row r="836" spans="1:16" ht="25.5">
      <c r="A836" s="141">
        <v>76807</v>
      </c>
      <c r="B836" s="141" t="s">
        <v>4325</v>
      </c>
      <c r="C836" s="142">
        <v>41201</v>
      </c>
      <c r="D836" s="141">
        <v>1177</v>
      </c>
      <c r="E836" s="141" t="str">
        <f t="shared" si="75"/>
        <v>001</v>
      </c>
      <c r="F836" s="141" t="s">
        <v>4326</v>
      </c>
      <c r="G836" s="141" t="str">
        <f t="shared" si="74"/>
        <v>0364</v>
      </c>
      <c r="H836" s="141" t="s">
        <v>2385</v>
      </c>
      <c r="I836" s="141" t="str">
        <f t="shared" si="76"/>
        <v>999</v>
      </c>
      <c r="J836" s="141" t="s">
        <v>4327</v>
      </c>
      <c r="K836" s="141">
        <v>3123</v>
      </c>
      <c r="L836" s="141">
        <v>2</v>
      </c>
      <c r="M836" s="141">
        <v>0</v>
      </c>
      <c r="N836" s="141">
        <v>16000</v>
      </c>
      <c r="O836" s="141" t="s">
        <v>4357</v>
      </c>
      <c r="P836" s="141" t="s">
        <v>4547</v>
      </c>
    </row>
    <row r="837" spans="1:16" ht="25.5">
      <c r="A837" s="141">
        <v>76807</v>
      </c>
      <c r="B837" s="141" t="s">
        <v>4325</v>
      </c>
      <c r="C837" s="142">
        <v>41201</v>
      </c>
      <c r="D837" s="141">
        <v>1177</v>
      </c>
      <c r="E837" s="141" t="str">
        <f t="shared" si="75"/>
        <v>001</v>
      </c>
      <c r="F837" s="141" t="s">
        <v>4326</v>
      </c>
      <c r="G837" s="141" t="str">
        <f t="shared" si="74"/>
        <v>0364</v>
      </c>
      <c r="H837" s="141" t="s">
        <v>2385</v>
      </c>
      <c r="I837" s="141" t="str">
        <f t="shared" si="76"/>
        <v>999</v>
      </c>
      <c r="J837" s="141" t="s">
        <v>4327</v>
      </c>
      <c r="K837" s="141">
        <v>3124</v>
      </c>
      <c r="L837" s="141">
        <v>2</v>
      </c>
      <c r="M837" s="141">
        <v>0</v>
      </c>
      <c r="N837" s="141">
        <v>13000</v>
      </c>
      <c r="O837" s="141" t="s">
        <v>4357</v>
      </c>
      <c r="P837" s="141" t="s">
        <v>4549</v>
      </c>
    </row>
    <row r="838" spans="1:16" ht="25.5">
      <c r="A838" s="141">
        <v>76807</v>
      </c>
      <c r="B838" s="141" t="s">
        <v>4325</v>
      </c>
      <c r="C838" s="142">
        <v>41201</v>
      </c>
      <c r="D838" s="141">
        <v>1177</v>
      </c>
      <c r="E838" s="141" t="str">
        <f t="shared" si="75"/>
        <v>001</v>
      </c>
      <c r="F838" s="141" t="s">
        <v>4326</v>
      </c>
      <c r="G838" s="141" t="str">
        <f t="shared" si="74"/>
        <v>0364</v>
      </c>
      <c r="H838" s="141" t="s">
        <v>2385</v>
      </c>
      <c r="I838" s="141" t="str">
        <f t="shared" si="76"/>
        <v>999</v>
      </c>
      <c r="J838" s="141" t="s">
        <v>4327</v>
      </c>
      <c r="K838" s="141">
        <v>3125</v>
      </c>
      <c r="L838" s="141">
        <v>2</v>
      </c>
      <c r="M838" s="141">
        <v>0</v>
      </c>
      <c r="N838" s="141">
        <v>9000</v>
      </c>
      <c r="O838" s="141" t="s">
        <v>4357</v>
      </c>
      <c r="P838" s="141" t="s">
        <v>4362</v>
      </c>
    </row>
    <row r="839" spans="1:16" ht="25.5">
      <c r="A839" s="141">
        <v>76807</v>
      </c>
      <c r="B839" s="141" t="s">
        <v>4325</v>
      </c>
      <c r="C839" s="142">
        <v>41201</v>
      </c>
      <c r="D839" s="141">
        <v>1177</v>
      </c>
      <c r="E839" s="141" t="str">
        <f t="shared" si="75"/>
        <v>001</v>
      </c>
      <c r="F839" s="141" t="s">
        <v>4326</v>
      </c>
      <c r="G839" s="141" t="str">
        <f t="shared" si="74"/>
        <v>0364</v>
      </c>
      <c r="H839" s="141" t="s">
        <v>2385</v>
      </c>
      <c r="I839" s="141" t="str">
        <f t="shared" si="76"/>
        <v>999</v>
      </c>
      <c r="J839" s="141" t="s">
        <v>4327</v>
      </c>
      <c r="K839" s="141">
        <v>3126</v>
      </c>
      <c r="L839" s="141">
        <v>1</v>
      </c>
      <c r="M839" s="141">
        <v>0</v>
      </c>
      <c r="N839" s="141">
        <v>24000</v>
      </c>
      <c r="O839" s="141" t="s">
        <v>4640</v>
      </c>
      <c r="P839" s="141"/>
    </row>
    <row r="840" spans="1:16" ht="25.5">
      <c r="A840" s="141">
        <v>76807</v>
      </c>
      <c r="B840" s="141" t="s">
        <v>4325</v>
      </c>
      <c r="C840" s="142">
        <v>41201</v>
      </c>
      <c r="D840" s="141">
        <v>313</v>
      </c>
      <c r="E840" s="141" t="str">
        <f t="shared" si="75"/>
        <v>001</v>
      </c>
      <c r="F840" s="141" t="s">
        <v>4326</v>
      </c>
      <c r="G840" s="141" t="str">
        <f t="shared" ref="G840:G855" si="77">"0365"</f>
        <v>0365</v>
      </c>
      <c r="H840" s="141" t="s">
        <v>4641</v>
      </c>
      <c r="I840" s="141" t="str">
        <f t="shared" si="76"/>
        <v>999</v>
      </c>
      <c r="J840" s="141" t="s">
        <v>4327</v>
      </c>
      <c r="K840" s="141">
        <v>263</v>
      </c>
      <c r="L840" s="141">
        <v>1</v>
      </c>
      <c r="M840" s="141">
        <v>0</v>
      </c>
      <c r="N840" s="141">
        <v>3000</v>
      </c>
      <c r="O840" s="141" t="s">
        <v>4330</v>
      </c>
      <c r="P840" s="141" t="s">
        <v>4331</v>
      </c>
    </row>
    <row r="841" spans="1:16" ht="25.5">
      <c r="A841" s="141">
        <v>76807</v>
      </c>
      <c r="B841" s="141" t="s">
        <v>4325</v>
      </c>
      <c r="C841" s="142">
        <v>41201</v>
      </c>
      <c r="D841" s="141">
        <v>313</v>
      </c>
      <c r="E841" s="141" t="str">
        <f t="shared" si="75"/>
        <v>001</v>
      </c>
      <c r="F841" s="141" t="s">
        <v>4326</v>
      </c>
      <c r="G841" s="141" t="str">
        <f t="shared" si="77"/>
        <v>0365</v>
      </c>
      <c r="H841" s="141" t="s">
        <v>4641</v>
      </c>
      <c r="I841" s="141" t="str">
        <f t="shared" si="76"/>
        <v>999</v>
      </c>
      <c r="J841" s="141" t="s">
        <v>4327</v>
      </c>
      <c r="K841" s="141">
        <v>264</v>
      </c>
      <c r="L841" s="141">
        <v>1</v>
      </c>
      <c r="M841" s="141">
        <v>0</v>
      </c>
      <c r="N841" s="141">
        <v>3000</v>
      </c>
      <c r="O841" s="141" t="s">
        <v>4330</v>
      </c>
      <c r="P841" s="141" t="s">
        <v>4331</v>
      </c>
    </row>
    <row r="842" spans="1:16" ht="25.5">
      <c r="A842" s="141">
        <v>76807</v>
      </c>
      <c r="B842" s="141" t="s">
        <v>4325</v>
      </c>
      <c r="C842" s="142">
        <v>41201</v>
      </c>
      <c r="D842" s="141">
        <v>313</v>
      </c>
      <c r="E842" s="141" t="str">
        <f t="shared" si="75"/>
        <v>001</v>
      </c>
      <c r="F842" s="141" t="s">
        <v>4326</v>
      </c>
      <c r="G842" s="141" t="str">
        <f t="shared" si="77"/>
        <v>0365</v>
      </c>
      <c r="H842" s="141" t="s">
        <v>4641</v>
      </c>
      <c r="I842" s="141" t="str">
        <f t="shared" si="76"/>
        <v>999</v>
      </c>
      <c r="J842" s="141" t="s">
        <v>4327</v>
      </c>
      <c r="K842" s="141">
        <v>265</v>
      </c>
      <c r="L842" s="141">
        <v>1</v>
      </c>
      <c r="M842" s="141">
        <v>0</v>
      </c>
      <c r="N842" s="141">
        <v>4000</v>
      </c>
      <c r="O842" s="141" t="s">
        <v>4330</v>
      </c>
      <c r="P842" s="141" t="s">
        <v>4348</v>
      </c>
    </row>
    <row r="843" spans="1:16" ht="25.5">
      <c r="A843" s="141">
        <v>76807</v>
      </c>
      <c r="B843" s="141" t="s">
        <v>4325</v>
      </c>
      <c r="C843" s="142">
        <v>41201</v>
      </c>
      <c r="D843" s="141">
        <v>313</v>
      </c>
      <c r="E843" s="141" t="str">
        <f t="shared" si="75"/>
        <v>001</v>
      </c>
      <c r="F843" s="141" t="s">
        <v>4326</v>
      </c>
      <c r="G843" s="141" t="str">
        <f t="shared" si="77"/>
        <v>0365</v>
      </c>
      <c r="H843" s="141" t="s">
        <v>4641</v>
      </c>
      <c r="I843" s="141" t="str">
        <f t="shared" si="76"/>
        <v>999</v>
      </c>
      <c r="J843" s="141" t="s">
        <v>4327</v>
      </c>
      <c r="K843" s="141">
        <v>266</v>
      </c>
      <c r="L843" s="141">
        <v>1</v>
      </c>
      <c r="M843" s="141">
        <v>0</v>
      </c>
      <c r="N843" s="141">
        <v>20000</v>
      </c>
      <c r="O843" s="141" t="s">
        <v>4388</v>
      </c>
      <c r="P843" s="141" t="s">
        <v>4528</v>
      </c>
    </row>
    <row r="844" spans="1:16" ht="25.5">
      <c r="A844" s="141">
        <v>76807</v>
      </c>
      <c r="B844" s="141" t="s">
        <v>4325</v>
      </c>
      <c r="C844" s="142">
        <v>41201</v>
      </c>
      <c r="D844" s="141">
        <v>313</v>
      </c>
      <c r="E844" s="141" t="str">
        <f t="shared" si="75"/>
        <v>001</v>
      </c>
      <c r="F844" s="141" t="s">
        <v>4326</v>
      </c>
      <c r="G844" s="141" t="str">
        <f t="shared" si="77"/>
        <v>0365</v>
      </c>
      <c r="H844" s="141" t="s">
        <v>4641</v>
      </c>
      <c r="I844" s="141" t="str">
        <f t="shared" si="76"/>
        <v>999</v>
      </c>
      <c r="J844" s="141" t="s">
        <v>4327</v>
      </c>
      <c r="K844" s="141">
        <v>267</v>
      </c>
      <c r="L844" s="141">
        <v>1</v>
      </c>
      <c r="M844" s="141">
        <v>0</v>
      </c>
      <c r="N844" s="141">
        <v>6000</v>
      </c>
      <c r="O844" s="141" t="s">
        <v>4407</v>
      </c>
      <c r="P844" s="141"/>
    </row>
    <row r="845" spans="1:16" ht="25.5">
      <c r="A845" s="141">
        <v>76807</v>
      </c>
      <c r="B845" s="141" t="s">
        <v>4325</v>
      </c>
      <c r="C845" s="142">
        <v>41201</v>
      </c>
      <c r="D845" s="141">
        <v>313</v>
      </c>
      <c r="E845" s="141" t="str">
        <f t="shared" si="75"/>
        <v>001</v>
      </c>
      <c r="F845" s="141" t="s">
        <v>4326</v>
      </c>
      <c r="G845" s="141" t="str">
        <f t="shared" si="77"/>
        <v>0365</v>
      </c>
      <c r="H845" s="141" t="s">
        <v>4641</v>
      </c>
      <c r="I845" s="141" t="str">
        <f t="shared" si="76"/>
        <v>999</v>
      </c>
      <c r="J845" s="141" t="s">
        <v>4327</v>
      </c>
      <c r="K845" s="141">
        <v>268</v>
      </c>
      <c r="L845" s="141">
        <v>1</v>
      </c>
      <c r="M845" s="141">
        <v>0</v>
      </c>
      <c r="N845" s="141">
        <v>8000</v>
      </c>
      <c r="O845" s="141" t="s">
        <v>4434</v>
      </c>
      <c r="P845" s="141"/>
    </row>
    <row r="846" spans="1:16" ht="25.5">
      <c r="A846" s="141">
        <v>76807</v>
      </c>
      <c r="B846" s="141" t="s">
        <v>4325</v>
      </c>
      <c r="C846" s="142">
        <v>41201</v>
      </c>
      <c r="D846" s="141">
        <v>313</v>
      </c>
      <c r="E846" s="141" t="str">
        <f t="shared" si="75"/>
        <v>001</v>
      </c>
      <c r="F846" s="141" t="s">
        <v>4326</v>
      </c>
      <c r="G846" s="141" t="str">
        <f t="shared" si="77"/>
        <v>0365</v>
      </c>
      <c r="H846" s="141" t="s">
        <v>4641</v>
      </c>
      <c r="I846" s="141" t="str">
        <f t="shared" si="76"/>
        <v>999</v>
      </c>
      <c r="J846" s="141" t="s">
        <v>4327</v>
      </c>
      <c r="K846" s="141">
        <v>269</v>
      </c>
      <c r="L846" s="141">
        <v>2</v>
      </c>
      <c r="M846" s="141">
        <v>0</v>
      </c>
      <c r="N846" s="141">
        <v>44000</v>
      </c>
      <c r="O846" s="141" t="s">
        <v>4357</v>
      </c>
      <c r="P846" s="141" t="s">
        <v>4642</v>
      </c>
    </row>
    <row r="847" spans="1:16" ht="25.5">
      <c r="A847" s="141">
        <v>76807</v>
      </c>
      <c r="B847" s="141" t="s">
        <v>4325</v>
      </c>
      <c r="C847" s="142">
        <v>41201</v>
      </c>
      <c r="D847" s="141">
        <v>313</v>
      </c>
      <c r="E847" s="141" t="str">
        <f t="shared" si="75"/>
        <v>001</v>
      </c>
      <c r="F847" s="141" t="s">
        <v>4326</v>
      </c>
      <c r="G847" s="141" t="str">
        <f t="shared" si="77"/>
        <v>0365</v>
      </c>
      <c r="H847" s="141" t="s">
        <v>4641</v>
      </c>
      <c r="I847" s="141" t="str">
        <f t="shared" si="76"/>
        <v>999</v>
      </c>
      <c r="J847" s="141" t="s">
        <v>4327</v>
      </c>
      <c r="K847" s="141">
        <v>270</v>
      </c>
      <c r="L847" s="141">
        <v>2</v>
      </c>
      <c r="M847" s="141">
        <v>0</v>
      </c>
      <c r="N847" s="141">
        <v>39000</v>
      </c>
      <c r="O847" s="141" t="s">
        <v>4357</v>
      </c>
      <c r="P847" s="141" t="s">
        <v>4555</v>
      </c>
    </row>
    <row r="848" spans="1:16" ht="25.5">
      <c r="A848" s="141">
        <v>76807</v>
      </c>
      <c r="B848" s="141" t="s">
        <v>4325</v>
      </c>
      <c r="C848" s="142">
        <v>41201</v>
      </c>
      <c r="D848" s="141">
        <v>313</v>
      </c>
      <c r="E848" s="141" t="str">
        <f t="shared" si="75"/>
        <v>001</v>
      </c>
      <c r="F848" s="141" t="s">
        <v>4326</v>
      </c>
      <c r="G848" s="141" t="str">
        <f t="shared" si="77"/>
        <v>0365</v>
      </c>
      <c r="H848" s="141" t="s">
        <v>4641</v>
      </c>
      <c r="I848" s="141" t="str">
        <f t="shared" si="76"/>
        <v>999</v>
      </c>
      <c r="J848" s="141" t="s">
        <v>4327</v>
      </c>
      <c r="K848" s="141">
        <v>271</v>
      </c>
      <c r="L848" s="141">
        <v>4</v>
      </c>
      <c r="M848" s="141">
        <v>0</v>
      </c>
      <c r="N848" s="141">
        <v>66000</v>
      </c>
      <c r="O848" s="141" t="s">
        <v>4357</v>
      </c>
      <c r="P848" s="141" t="s">
        <v>4626</v>
      </c>
    </row>
    <row r="849" spans="1:16" ht="25.5">
      <c r="A849" s="141">
        <v>76807</v>
      </c>
      <c r="B849" s="141" t="s">
        <v>4325</v>
      </c>
      <c r="C849" s="142">
        <v>41201</v>
      </c>
      <c r="D849" s="141">
        <v>313</v>
      </c>
      <c r="E849" s="141" t="str">
        <f t="shared" si="75"/>
        <v>001</v>
      </c>
      <c r="F849" s="141" t="s">
        <v>4326</v>
      </c>
      <c r="G849" s="141" t="str">
        <f t="shared" si="77"/>
        <v>0365</v>
      </c>
      <c r="H849" s="141" t="s">
        <v>4641</v>
      </c>
      <c r="I849" s="141" t="str">
        <f t="shared" si="76"/>
        <v>999</v>
      </c>
      <c r="J849" s="141" t="s">
        <v>4327</v>
      </c>
      <c r="K849" s="141">
        <v>272</v>
      </c>
      <c r="L849" s="141">
        <v>1</v>
      </c>
      <c r="M849" s="141">
        <v>0</v>
      </c>
      <c r="N849" s="141">
        <v>0</v>
      </c>
      <c r="O849" s="141" t="s">
        <v>4643</v>
      </c>
      <c r="P849" s="141" t="s">
        <v>4644</v>
      </c>
    </row>
    <row r="850" spans="1:16" ht="25.5">
      <c r="A850" s="141">
        <v>76807</v>
      </c>
      <c r="B850" s="141" t="s">
        <v>4325</v>
      </c>
      <c r="C850" s="142">
        <v>41201</v>
      </c>
      <c r="D850" s="141">
        <v>313</v>
      </c>
      <c r="E850" s="141" t="str">
        <f t="shared" si="75"/>
        <v>001</v>
      </c>
      <c r="F850" s="141" t="s">
        <v>4326</v>
      </c>
      <c r="G850" s="141" t="str">
        <f t="shared" si="77"/>
        <v>0365</v>
      </c>
      <c r="H850" s="141" t="s">
        <v>4641</v>
      </c>
      <c r="I850" s="141" t="str">
        <f t="shared" si="76"/>
        <v>999</v>
      </c>
      <c r="J850" s="141" t="s">
        <v>4327</v>
      </c>
      <c r="K850" s="141">
        <v>273</v>
      </c>
      <c r="L850" s="141">
        <v>1</v>
      </c>
      <c r="M850" s="141">
        <v>0</v>
      </c>
      <c r="N850" s="141">
        <v>0</v>
      </c>
      <c r="O850" s="141" t="s">
        <v>4643</v>
      </c>
      <c r="P850" s="141" t="s">
        <v>4644</v>
      </c>
    </row>
    <row r="851" spans="1:16" ht="25.5">
      <c r="A851" s="141">
        <v>76807</v>
      </c>
      <c r="B851" s="141" t="s">
        <v>4325</v>
      </c>
      <c r="C851" s="142">
        <v>41201</v>
      </c>
      <c r="D851" s="141">
        <v>313</v>
      </c>
      <c r="E851" s="141" t="str">
        <f t="shared" si="75"/>
        <v>001</v>
      </c>
      <c r="F851" s="141" t="s">
        <v>4326</v>
      </c>
      <c r="G851" s="141" t="str">
        <f t="shared" si="77"/>
        <v>0365</v>
      </c>
      <c r="H851" s="141" t="s">
        <v>4641</v>
      </c>
      <c r="I851" s="141" t="str">
        <f t="shared" si="76"/>
        <v>999</v>
      </c>
      <c r="J851" s="141" t="s">
        <v>4327</v>
      </c>
      <c r="K851" s="141">
        <v>274</v>
      </c>
      <c r="L851" s="141">
        <v>1</v>
      </c>
      <c r="M851" s="141">
        <v>0</v>
      </c>
      <c r="N851" s="141">
        <v>0</v>
      </c>
      <c r="O851" s="141" t="s">
        <v>4643</v>
      </c>
      <c r="P851" s="141" t="s">
        <v>4644</v>
      </c>
    </row>
    <row r="852" spans="1:16" ht="25.5">
      <c r="A852" s="141">
        <v>76807</v>
      </c>
      <c r="B852" s="141" t="s">
        <v>4325</v>
      </c>
      <c r="C852" s="142">
        <v>41201</v>
      </c>
      <c r="D852" s="141">
        <v>313</v>
      </c>
      <c r="E852" s="141" t="str">
        <f t="shared" si="75"/>
        <v>001</v>
      </c>
      <c r="F852" s="141" t="s">
        <v>4326</v>
      </c>
      <c r="G852" s="141" t="str">
        <f t="shared" si="77"/>
        <v>0365</v>
      </c>
      <c r="H852" s="141" t="s">
        <v>4641</v>
      </c>
      <c r="I852" s="141" t="str">
        <f t="shared" si="76"/>
        <v>999</v>
      </c>
      <c r="J852" s="141" t="s">
        <v>4327</v>
      </c>
      <c r="K852" s="141">
        <v>275</v>
      </c>
      <c r="L852" s="141">
        <v>1</v>
      </c>
      <c r="M852" s="141">
        <v>0</v>
      </c>
      <c r="N852" s="141">
        <v>0</v>
      </c>
      <c r="O852" s="141" t="s">
        <v>4643</v>
      </c>
      <c r="P852" s="141" t="s">
        <v>4644</v>
      </c>
    </row>
    <row r="853" spans="1:16" ht="25.5">
      <c r="A853" s="141">
        <v>76807</v>
      </c>
      <c r="B853" s="141" t="s">
        <v>4325</v>
      </c>
      <c r="C853" s="142">
        <v>41201</v>
      </c>
      <c r="D853" s="141">
        <v>313</v>
      </c>
      <c r="E853" s="141" t="str">
        <f t="shared" si="75"/>
        <v>001</v>
      </c>
      <c r="F853" s="141" t="s">
        <v>4326</v>
      </c>
      <c r="G853" s="141" t="str">
        <f t="shared" si="77"/>
        <v>0365</v>
      </c>
      <c r="H853" s="141" t="s">
        <v>4641</v>
      </c>
      <c r="I853" s="141" t="str">
        <f t="shared" si="76"/>
        <v>999</v>
      </c>
      <c r="J853" s="141" t="s">
        <v>4327</v>
      </c>
      <c r="K853" s="141">
        <v>276</v>
      </c>
      <c r="L853" s="141">
        <v>1</v>
      </c>
      <c r="M853" s="141">
        <v>0</v>
      </c>
      <c r="N853" s="141">
        <v>9000</v>
      </c>
      <c r="O853" s="141" t="s">
        <v>4540</v>
      </c>
      <c r="P853" s="141"/>
    </row>
    <row r="854" spans="1:16" ht="25.5">
      <c r="A854" s="141">
        <v>76807</v>
      </c>
      <c r="B854" s="141" t="s">
        <v>4325</v>
      </c>
      <c r="C854" s="142">
        <v>41201</v>
      </c>
      <c r="D854" s="141">
        <v>313</v>
      </c>
      <c r="E854" s="141" t="str">
        <f t="shared" si="75"/>
        <v>001</v>
      </c>
      <c r="F854" s="141" t="s">
        <v>4326</v>
      </c>
      <c r="G854" s="141" t="str">
        <f t="shared" si="77"/>
        <v>0365</v>
      </c>
      <c r="H854" s="141" t="s">
        <v>4641</v>
      </c>
      <c r="I854" s="141" t="str">
        <f t="shared" si="76"/>
        <v>999</v>
      </c>
      <c r="J854" s="141" t="s">
        <v>4327</v>
      </c>
      <c r="K854" s="141">
        <v>277</v>
      </c>
      <c r="L854" s="141">
        <v>1</v>
      </c>
      <c r="M854" s="141">
        <v>0</v>
      </c>
      <c r="N854" s="141">
        <v>17000</v>
      </c>
      <c r="O854" s="141" t="s">
        <v>4500</v>
      </c>
      <c r="P854" s="141" t="s">
        <v>4645</v>
      </c>
    </row>
    <row r="855" spans="1:16" ht="25.5">
      <c r="A855" s="141">
        <v>76807</v>
      </c>
      <c r="B855" s="141" t="s">
        <v>4325</v>
      </c>
      <c r="C855" s="142">
        <v>41201</v>
      </c>
      <c r="D855" s="141">
        <v>313</v>
      </c>
      <c r="E855" s="141" t="str">
        <f t="shared" si="75"/>
        <v>001</v>
      </c>
      <c r="F855" s="141" t="s">
        <v>4326</v>
      </c>
      <c r="G855" s="141" t="str">
        <f t="shared" si="77"/>
        <v>0365</v>
      </c>
      <c r="H855" s="141" t="s">
        <v>4641</v>
      </c>
      <c r="I855" s="141" t="str">
        <f t="shared" si="76"/>
        <v>999</v>
      </c>
      <c r="J855" s="141" t="s">
        <v>4327</v>
      </c>
      <c r="K855" s="141">
        <v>278</v>
      </c>
      <c r="L855" s="141">
        <v>1</v>
      </c>
      <c r="M855" s="141">
        <v>0</v>
      </c>
      <c r="N855" s="141">
        <v>17000</v>
      </c>
      <c r="O855" s="141" t="s">
        <v>4500</v>
      </c>
      <c r="P855" s="141" t="s">
        <v>4645</v>
      </c>
    </row>
    <row r="856" spans="1:16" ht="25.5">
      <c r="A856" s="141">
        <v>76807</v>
      </c>
      <c r="B856" s="141" t="s">
        <v>4325</v>
      </c>
      <c r="C856" s="142">
        <v>41201</v>
      </c>
      <c r="D856" s="141">
        <v>453</v>
      </c>
      <c r="E856" s="141" t="str">
        <f t="shared" si="75"/>
        <v>001</v>
      </c>
      <c r="F856" s="141" t="s">
        <v>4326</v>
      </c>
      <c r="G856" s="141" t="str">
        <f>"0367"</f>
        <v>0367</v>
      </c>
      <c r="H856" s="141" t="s">
        <v>4646</v>
      </c>
      <c r="I856" s="141" t="str">
        <f t="shared" si="76"/>
        <v>999</v>
      </c>
      <c r="J856" s="141" t="s">
        <v>4327</v>
      </c>
      <c r="K856" s="141">
        <v>1355</v>
      </c>
      <c r="L856" s="141">
        <v>1</v>
      </c>
      <c r="M856" s="141">
        <v>0</v>
      </c>
      <c r="N856" s="141">
        <v>1000</v>
      </c>
      <c r="O856" s="141" t="s">
        <v>4350</v>
      </c>
      <c r="P856" s="141"/>
    </row>
    <row r="857" spans="1:16" ht="25.5">
      <c r="A857" s="141">
        <v>76807</v>
      </c>
      <c r="B857" s="141" t="s">
        <v>4325</v>
      </c>
      <c r="C857" s="142">
        <v>41201</v>
      </c>
      <c r="D857" s="141">
        <v>453</v>
      </c>
      <c r="E857" s="141" t="str">
        <f t="shared" si="75"/>
        <v>001</v>
      </c>
      <c r="F857" s="141" t="s">
        <v>4326</v>
      </c>
      <c r="G857" s="141" t="str">
        <f>"0367"</f>
        <v>0367</v>
      </c>
      <c r="H857" s="141" t="s">
        <v>4646</v>
      </c>
      <c r="I857" s="141" t="str">
        <f t="shared" si="76"/>
        <v>999</v>
      </c>
      <c r="J857" s="141" t="s">
        <v>4327</v>
      </c>
      <c r="K857" s="141">
        <v>1356</v>
      </c>
      <c r="L857" s="141">
        <v>1</v>
      </c>
      <c r="M857" s="141">
        <v>0</v>
      </c>
      <c r="N857" s="141">
        <v>1000</v>
      </c>
      <c r="O857" s="141" t="s">
        <v>4343</v>
      </c>
      <c r="P857" s="141"/>
    </row>
    <row r="858" spans="1:16" ht="25.5">
      <c r="A858" s="141">
        <v>76807</v>
      </c>
      <c r="B858" s="141" t="s">
        <v>4325</v>
      </c>
      <c r="C858" s="142">
        <v>41201</v>
      </c>
      <c r="D858" s="141">
        <v>453</v>
      </c>
      <c r="E858" s="141" t="str">
        <f t="shared" si="75"/>
        <v>001</v>
      </c>
      <c r="F858" s="141" t="s">
        <v>4326</v>
      </c>
      <c r="G858" s="141" t="str">
        <f>"0367"</f>
        <v>0367</v>
      </c>
      <c r="H858" s="141" t="s">
        <v>4646</v>
      </c>
      <c r="I858" s="141" t="str">
        <f t="shared" si="76"/>
        <v>999</v>
      </c>
      <c r="J858" s="141" t="s">
        <v>4327</v>
      </c>
      <c r="K858" s="141">
        <v>1357</v>
      </c>
      <c r="L858" s="141">
        <v>1</v>
      </c>
      <c r="M858" s="141">
        <v>0</v>
      </c>
      <c r="N858" s="141">
        <v>4000</v>
      </c>
      <c r="O858" s="141" t="s">
        <v>4399</v>
      </c>
      <c r="P858" s="141" t="s">
        <v>4354</v>
      </c>
    </row>
    <row r="859" spans="1:16" ht="25.5">
      <c r="A859" s="141">
        <v>76807</v>
      </c>
      <c r="B859" s="141" t="s">
        <v>4325</v>
      </c>
      <c r="C859" s="142">
        <v>41201</v>
      </c>
      <c r="D859" s="141">
        <v>1184</v>
      </c>
      <c r="E859" s="141" t="str">
        <f t="shared" si="75"/>
        <v>001</v>
      </c>
      <c r="F859" s="141" t="s">
        <v>4326</v>
      </c>
      <c r="G859" s="141" t="str">
        <f t="shared" ref="G859:G867" si="78">"0368"</f>
        <v>0368</v>
      </c>
      <c r="H859" s="141" t="s">
        <v>4647</v>
      </c>
      <c r="I859" s="141" t="str">
        <f t="shared" si="76"/>
        <v>999</v>
      </c>
      <c r="J859" s="141" t="s">
        <v>4327</v>
      </c>
      <c r="K859" s="141">
        <v>3264</v>
      </c>
      <c r="L859" s="141">
        <v>1</v>
      </c>
      <c r="M859" s="141">
        <v>0</v>
      </c>
      <c r="N859" s="141">
        <v>55000</v>
      </c>
      <c r="O859" s="141" t="s">
        <v>4648</v>
      </c>
      <c r="P859" s="141"/>
    </row>
    <row r="860" spans="1:16" ht="25.5">
      <c r="A860" s="141">
        <v>76807</v>
      </c>
      <c r="B860" s="141" t="s">
        <v>4325</v>
      </c>
      <c r="C860" s="142">
        <v>41201</v>
      </c>
      <c r="D860" s="141">
        <v>1184</v>
      </c>
      <c r="E860" s="141" t="str">
        <f t="shared" si="75"/>
        <v>001</v>
      </c>
      <c r="F860" s="141" t="s">
        <v>4326</v>
      </c>
      <c r="G860" s="141" t="str">
        <f t="shared" si="78"/>
        <v>0368</v>
      </c>
      <c r="H860" s="141" t="s">
        <v>4647</v>
      </c>
      <c r="I860" s="141" t="str">
        <f t="shared" si="76"/>
        <v>999</v>
      </c>
      <c r="J860" s="141" t="s">
        <v>4327</v>
      </c>
      <c r="K860" s="141">
        <v>3265</v>
      </c>
      <c r="L860" s="141">
        <v>10</v>
      </c>
      <c r="M860" s="141">
        <v>0</v>
      </c>
      <c r="N860" s="141">
        <v>38000</v>
      </c>
      <c r="O860" s="141" t="s">
        <v>4357</v>
      </c>
      <c r="P860" s="141" t="s">
        <v>4361</v>
      </c>
    </row>
    <row r="861" spans="1:16" ht="25.5">
      <c r="A861" s="141">
        <v>76807</v>
      </c>
      <c r="B861" s="141" t="s">
        <v>4325</v>
      </c>
      <c r="C861" s="142">
        <v>41201</v>
      </c>
      <c r="D861" s="141">
        <v>1184</v>
      </c>
      <c r="E861" s="141" t="str">
        <f t="shared" si="75"/>
        <v>001</v>
      </c>
      <c r="F861" s="141" t="s">
        <v>4326</v>
      </c>
      <c r="G861" s="141" t="str">
        <f t="shared" si="78"/>
        <v>0368</v>
      </c>
      <c r="H861" s="141" t="s">
        <v>4647</v>
      </c>
      <c r="I861" s="141" t="str">
        <f t="shared" si="76"/>
        <v>999</v>
      </c>
      <c r="J861" s="141" t="s">
        <v>4327</v>
      </c>
      <c r="K861" s="141">
        <v>3266</v>
      </c>
      <c r="L861" s="141">
        <v>1</v>
      </c>
      <c r="M861" s="141">
        <v>0</v>
      </c>
      <c r="N861" s="141">
        <v>6000</v>
      </c>
      <c r="O861" s="141" t="s">
        <v>4357</v>
      </c>
      <c r="P861" s="141" t="s">
        <v>4444</v>
      </c>
    </row>
    <row r="862" spans="1:16" ht="25.5">
      <c r="A862" s="141">
        <v>76807</v>
      </c>
      <c r="B862" s="141" t="s">
        <v>4325</v>
      </c>
      <c r="C862" s="142">
        <v>41201</v>
      </c>
      <c r="D862" s="141">
        <v>1184</v>
      </c>
      <c r="E862" s="141" t="str">
        <f t="shared" si="75"/>
        <v>001</v>
      </c>
      <c r="F862" s="141" t="s">
        <v>4326</v>
      </c>
      <c r="G862" s="141" t="str">
        <f t="shared" si="78"/>
        <v>0368</v>
      </c>
      <c r="H862" s="141" t="s">
        <v>4647</v>
      </c>
      <c r="I862" s="141" t="str">
        <f t="shared" si="76"/>
        <v>999</v>
      </c>
      <c r="J862" s="141" t="s">
        <v>4327</v>
      </c>
      <c r="K862" s="141">
        <v>3267</v>
      </c>
      <c r="L862" s="141">
        <v>1</v>
      </c>
      <c r="M862" s="141">
        <v>0</v>
      </c>
      <c r="N862" s="141">
        <v>3000</v>
      </c>
      <c r="O862" s="141" t="s">
        <v>4434</v>
      </c>
      <c r="P862" s="141"/>
    </row>
    <row r="863" spans="1:16" ht="25.5">
      <c r="A863" s="141">
        <v>76807</v>
      </c>
      <c r="B863" s="141" t="s">
        <v>4325</v>
      </c>
      <c r="C863" s="142">
        <v>41201</v>
      </c>
      <c r="D863" s="141">
        <v>1184</v>
      </c>
      <c r="E863" s="141" t="str">
        <f t="shared" si="75"/>
        <v>001</v>
      </c>
      <c r="F863" s="141" t="s">
        <v>4326</v>
      </c>
      <c r="G863" s="141" t="str">
        <f t="shared" si="78"/>
        <v>0368</v>
      </c>
      <c r="H863" s="141" t="s">
        <v>4647</v>
      </c>
      <c r="I863" s="141" t="str">
        <f t="shared" si="76"/>
        <v>999</v>
      </c>
      <c r="J863" s="141" t="s">
        <v>4327</v>
      </c>
      <c r="K863" s="141">
        <v>3268</v>
      </c>
      <c r="L863" s="141">
        <v>2</v>
      </c>
      <c r="M863" s="141">
        <v>0</v>
      </c>
      <c r="N863" s="141">
        <v>1000</v>
      </c>
      <c r="O863" s="141" t="s">
        <v>4350</v>
      </c>
      <c r="P863" s="141"/>
    </row>
    <row r="864" spans="1:16" ht="25.5">
      <c r="A864" s="141">
        <v>76807</v>
      </c>
      <c r="B864" s="141" t="s">
        <v>4325</v>
      </c>
      <c r="C864" s="142">
        <v>41201</v>
      </c>
      <c r="D864" s="141">
        <v>1184</v>
      </c>
      <c r="E864" s="141" t="str">
        <f t="shared" si="75"/>
        <v>001</v>
      </c>
      <c r="F864" s="141" t="s">
        <v>4326</v>
      </c>
      <c r="G864" s="141" t="str">
        <f t="shared" si="78"/>
        <v>0368</v>
      </c>
      <c r="H864" s="141" t="s">
        <v>4647</v>
      </c>
      <c r="I864" s="141" t="str">
        <f t="shared" si="76"/>
        <v>999</v>
      </c>
      <c r="J864" s="141" t="s">
        <v>4327</v>
      </c>
      <c r="K864" s="141">
        <v>3269</v>
      </c>
      <c r="L864" s="141">
        <v>8</v>
      </c>
      <c r="M864" s="141">
        <v>0</v>
      </c>
      <c r="N864" s="141">
        <v>6000</v>
      </c>
      <c r="O864" s="141" t="s">
        <v>4343</v>
      </c>
      <c r="P864" s="141"/>
    </row>
    <row r="865" spans="1:16" ht="25.5">
      <c r="A865" s="141">
        <v>76807</v>
      </c>
      <c r="B865" s="141" t="s">
        <v>4325</v>
      </c>
      <c r="C865" s="142">
        <v>41201</v>
      </c>
      <c r="D865" s="141">
        <v>1184</v>
      </c>
      <c r="E865" s="141" t="str">
        <f t="shared" si="75"/>
        <v>001</v>
      </c>
      <c r="F865" s="141" t="s">
        <v>4326</v>
      </c>
      <c r="G865" s="141" t="str">
        <f t="shared" si="78"/>
        <v>0368</v>
      </c>
      <c r="H865" s="141" t="s">
        <v>4647</v>
      </c>
      <c r="I865" s="141" t="str">
        <f t="shared" si="76"/>
        <v>999</v>
      </c>
      <c r="J865" s="141" t="s">
        <v>4327</v>
      </c>
      <c r="K865" s="141">
        <v>3270</v>
      </c>
      <c r="L865" s="141">
        <v>2</v>
      </c>
      <c r="M865" s="141">
        <v>0</v>
      </c>
      <c r="N865" s="141">
        <v>0</v>
      </c>
      <c r="O865" s="141" t="s">
        <v>4624</v>
      </c>
      <c r="P865" s="141"/>
    </row>
    <row r="866" spans="1:16" ht="25.5">
      <c r="A866" s="141">
        <v>76807</v>
      </c>
      <c r="B866" s="141" t="s">
        <v>4325</v>
      </c>
      <c r="C866" s="142">
        <v>41201</v>
      </c>
      <c r="D866" s="141">
        <v>1184</v>
      </c>
      <c r="E866" s="141" t="str">
        <f t="shared" si="75"/>
        <v>001</v>
      </c>
      <c r="F866" s="141" t="s">
        <v>4326</v>
      </c>
      <c r="G866" s="141" t="str">
        <f t="shared" si="78"/>
        <v>0368</v>
      </c>
      <c r="H866" s="141" t="s">
        <v>4647</v>
      </c>
      <c r="I866" s="141" t="str">
        <f t="shared" si="76"/>
        <v>999</v>
      </c>
      <c r="J866" s="141" t="s">
        <v>4327</v>
      </c>
      <c r="K866" s="141">
        <v>3334</v>
      </c>
      <c r="L866" s="141">
        <v>1</v>
      </c>
      <c r="M866" s="141">
        <v>0</v>
      </c>
      <c r="N866" s="141">
        <v>125000</v>
      </c>
      <c r="O866" s="141" t="s">
        <v>4649</v>
      </c>
      <c r="P866" s="141"/>
    </row>
    <row r="867" spans="1:16" ht="25.5">
      <c r="A867" s="141">
        <v>76807</v>
      </c>
      <c r="B867" s="141" t="s">
        <v>4325</v>
      </c>
      <c r="C867" s="142">
        <v>41201</v>
      </c>
      <c r="D867" s="141">
        <v>1184</v>
      </c>
      <c r="E867" s="141" t="str">
        <f t="shared" si="75"/>
        <v>001</v>
      </c>
      <c r="F867" s="141" t="s">
        <v>4326</v>
      </c>
      <c r="G867" s="141" t="str">
        <f t="shared" si="78"/>
        <v>0368</v>
      </c>
      <c r="H867" s="141" t="s">
        <v>4647</v>
      </c>
      <c r="I867" s="141" t="str">
        <f t="shared" si="76"/>
        <v>999</v>
      </c>
      <c r="J867" s="141" t="s">
        <v>4327</v>
      </c>
      <c r="K867" s="141">
        <v>3335</v>
      </c>
      <c r="L867" s="141">
        <v>188</v>
      </c>
      <c r="M867" s="141">
        <v>0</v>
      </c>
      <c r="N867" s="141">
        <v>24000</v>
      </c>
      <c r="O867" s="141" t="s">
        <v>4650</v>
      </c>
      <c r="P867" s="141"/>
    </row>
    <row r="868" spans="1:16" ht="25.5">
      <c r="A868" s="141">
        <v>76807</v>
      </c>
      <c r="B868" s="141" t="s">
        <v>4325</v>
      </c>
      <c r="C868" s="142">
        <v>41201</v>
      </c>
      <c r="D868" s="141">
        <v>736</v>
      </c>
      <c r="E868" s="141" t="str">
        <f t="shared" si="75"/>
        <v>001</v>
      </c>
      <c r="F868" s="141" t="s">
        <v>4326</v>
      </c>
      <c r="G868" s="141" t="str">
        <f t="shared" ref="G868:G887" si="79">"0370"</f>
        <v>0370</v>
      </c>
      <c r="H868" s="141" t="s">
        <v>2624</v>
      </c>
      <c r="I868" s="141" t="str">
        <f t="shared" si="76"/>
        <v>999</v>
      </c>
      <c r="J868" s="141" t="s">
        <v>4327</v>
      </c>
      <c r="K868" s="141">
        <v>2339</v>
      </c>
      <c r="L868" s="141">
        <v>1</v>
      </c>
      <c r="M868" s="141">
        <v>0</v>
      </c>
      <c r="N868" s="141">
        <v>14000</v>
      </c>
      <c r="O868" s="141" t="s">
        <v>4351</v>
      </c>
      <c r="P868" s="141" t="s">
        <v>4474</v>
      </c>
    </row>
    <row r="869" spans="1:16" ht="25.5">
      <c r="A869" s="141">
        <v>76807</v>
      </c>
      <c r="B869" s="141" t="s">
        <v>4325</v>
      </c>
      <c r="C869" s="142">
        <v>41201</v>
      </c>
      <c r="D869" s="141">
        <v>736</v>
      </c>
      <c r="E869" s="141" t="str">
        <f t="shared" si="75"/>
        <v>001</v>
      </c>
      <c r="F869" s="141" t="s">
        <v>4326</v>
      </c>
      <c r="G869" s="141" t="str">
        <f t="shared" si="79"/>
        <v>0370</v>
      </c>
      <c r="H869" s="141" t="s">
        <v>2624</v>
      </c>
      <c r="I869" s="141" t="str">
        <f t="shared" si="76"/>
        <v>999</v>
      </c>
      <c r="J869" s="141" t="s">
        <v>4327</v>
      </c>
      <c r="K869" s="141">
        <v>2340</v>
      </c>
      <c r="L869" s="141">
        <v>1</v>
      </c>
      <c r="M869" s="141">
        <v>0</v>
      </c>
      <c r="N869" s="141">
        <v>26000</v>
      </c>
      <c r="O869" s="141" t="s">
        <v>4337</v>
      </c>
      <c r="P869" s="141" t="s">
        <v>4651</v>
      </c>
    </row>
    <row r="870" spans="1:16" ht="25.5">
      <c r="A870" s="141">
        <v>76807</v>
      </c>
      <c r="B870" s="141" t="s">
        <v>4325</v>
      </c>
      <c r="C870" s="142">
        <v>41201</v>
      </c>
      <c r="D870" s="141">
        <v>736</v>
      </c>
      <c r="E870" s="141" t="str">
        <f t="shared" si="75"/>
        <v>001</v>
      </c>
      <c r="F870" s="141" t="s">
        <v>4326</v>
      </c>
      <c r="G870" s="141" t="str">
        <f t="shared" si="79"/>
        <v>0370</v>
      </c>
      <c r="H870" s="141" t="s">
        <v>2624</v>
      </c>
      <c r="I870" s="141" t="str">
        <f t="shared" si="76"/>
        <v>999</v>
      </c>
      <c r="J870" s="141" t="s">
        <v>4327</v>
      </c>
      <c r="K870" s="141">
        <v>2341</v>
      </c>
      <c r="L870" s="141">
        <v>2</v>
      </c>
      <c r="M870" s="141">
        <v>0</v>
      </c>
      <c r="N870" s="141">
        <v>19000</v>
      </c>
      <c r="O870" s="141" t="s">
        <v>4357</v>
      </c>
      <c r="P870" s="141" t="s">
        <v>4546</v>
      </c>
    </row>
    <row r="871" spans="1:16" ht="25.5">
      <c r="A871" s="141">
        <v>76807</v>
      </c>
      <c r="B871" s="141" t="s">
        <v>4325</v>
      </c>
      <c r="C871" s="142">
        <v>41201</v>
      </c>
      <c r="D871" s="141">
        <v>736</v>
      </c>
      <c r="E871" s="141" t="str">
        <f t="shared" si="75"/>
        <v>001</v>
      </c>
      <c r="F871" s="141" t="s">
        <v>4326</v>
      </c>
      <c r="G871" s="141" t="str">
        <f t="shared" si="79"/>
        <v>0370</v>
      </c>
      <c r="H871" s="141" t="s">
        <v>2624</v>
      </c>
      <c r="I871" s="141" t="str">
        <f t="shared" si="76"/>
        <v>999</v>
      </c>
      <c r="J871" s="141" t="s">
        <v>4327</v>
      </c>
      <c r="K871" s="141">
        <v>2342</v>
      </c>
      <c r="L871" s="141">
        <v>8</v>
      </c>
      <c r="M871" s="141">
        <v>0</v>
      </c>
      <c r="N871" s="141">
        <v>58000</v>
      </c>
      <c r="O871" s="141" t="s">
        <v>4357</v>
      </c>
      <c r="P871" s="141" t="s">
        <v>4548</v>
      </c>
    </row>
    <row r="872" spans="1:16" ht="25.5">
      <c r="A872" s="141">
        <v>76807</v>
      </c>
      <c r="B872" s="141" t="s">
        <v>4325</v>
      </c>
      <c r="C872" s="142">
        <v>41201</v>
      </c>
      <c r="D872" s="141">
        <v>736</v>
      </c>
      <c r="E872" s="141" t="str">
        <f t="shared" si="75"/>
        <v>001</v>
      </c>
      <c r="F872" s="141" t="s">
        <v>4326</v>
      </c>
      <c r="G872" s="141" t="str">
        <f t="shared" si="79"/>
        <v>0370</v>
      </c>
      <c r="H872" s="141" t="s">
        <v>2624</v>
      </c>
      <c r="I872" s="141" t="str">
        <f t="shared" si="76"/>
        <v>999</v>
      </c>
      <c r="J872" s="141" t="s">
        <v>4327</v>
      </c>
      <c r="K872" s="141">
        <v>2343</v>
      </c>
      <c r="L872" s="141">
        <v>1</v>
      </c>
      <c r="M872" s="141">
        <v>0</v>
      </c>
      <c r="N872" s="141">
        <v>7000</v>
      </c>
      <c r="O872" s="141" t="s">
        <v>4357</v>
      </c>
      <c r="P872" s="141" t="s">
        <v>4549</v>
      </c>
    </row>
    <row r="873" spans="1:16" ht="25.5">
      <c r="A873" s="141">
        <v>76807</v>
      </c>
      <c r="B873" s="141" t="s">
        <v>4325</v>
      </c>
      <c r="C873" s="142">
        <v>41201</v>
      </c>
      <c r="D873" s="141">
        <v>736</v>
      </c>
      <c r="E873" s="141" t="str">
        <f t="shared" si="75"/>
        <v>001</v>
      </c>
      <c r="F873" s="141" t="s">
        <v>4326</v>
      </c>
      <c r="G873" s="141" t="str">
        <f t="shared" si="79"/>
        <v>0370</v>
      </c>
      <c r="H873" s="141" t="s">
        <v>2624</v>
      </c>
      <c r="I873" s="141" t="str">
        <f t="shared" si="76"/>
        <v>999</v>
      </c>
      <c r="J873" s="141" t="s">
        <v>4327</v>
      </c>
      <c r="K873" s="141">
        <v>2344</v>
      </c>
      <c r="L873" s="141">
        <v>4</v>
      </c>
      <c r="M873" s="141">
        <v>0</v>
      </c>
      <c r="N873" s="141">
        <v>14000</v>
      </c>
      <c r="O873" s="141" t="s">
        <v>4540</v>
      </c>
      <c r="P873" s="141"/>
    </row>
    <row r="874" spans="1:16" ht="25.5">
      <c r="A874" s="141">
        <v>76807</v>
      </c>
      <c r="B874" s="141" t="s">
        <v>4325</v>
      </c>
      <c r="C874" s="142">
        <v>41201</v>
      </c>
      <c r="D874" s="141">
        <v>736</v>
      </c>
      <c r="E874" s="141" t="str">
        <f t="shared" si="75"/>
        <v>001</v>
      </c>
      <c r="F874" s="141" t="s">
        <v>4326</v>
      </c>
      <c r="G874" s="141" t="str">
        <f t="shared" si="79"/>
        <v>0370</v>
      </c>
      <c r="H874" s="141" t="s">
        <v>2624</v>
      </c>
      <c r="I874" s="141" t="str">
        <f t="shared" si="76"/>
        <v>999</v>
      </c>
      <c r="J874" s="141" t="s">
        <v>4327</v>
      </c>
      <c r="K874" s="141">
        <v>2345</v>
      </c>
      <c r="L874" s="141">
        <v>1</v>
      </c>
      <c r="M874" s="141">
        <v>0</v>
      </c>
      <c r="N874" s="141">
        <v>3000</v>
      </c>
      <c r="O874" s="141" t="s">
        <v>4364</v>
      </c>
      <c r="P874" s="141" t="s">
        <v>4365</v>
      </c>
    </row>
    <row r="875" spans="1:16" ht="25.5">
      <c r="A875" s="141">
        <v>76807</v>
      </c>
      <c r="B875" s="141" t="s">
        <v>4325</v>
      </c>
      <c r="C875" s="142">
        <v>41201</v>
      </c>
      <c r="D875" s="141">
        <v>736</v>
      </c>
      <c r="E875" s="141" t="str">
        <f t="shared" si="75"/>
        <v>001</v>
      </c>
      <c r="F875" s="141" t="s">
        <v>4326</v>
      </c>
      <c r="G875" s="141" t="str">
        <f t="shared" si="79"/>
        <v>0370</v>
      </c>
      <c r="H875" s="141" t="s">
        <v>2624</v>
      </c>
      <c r="I875" s="141" t="str">
        <f t="shared" si="76"/>
        <v>999</v>
      </c>
      <c r="J875" s="141" t="s">
        <v>4327</v>
      </c>
      <c r="K875" s="141">
        <v>2346</v>
      </c>
      <c r="L875" s="141">
        <v>1</v>
      </c>
      <c r="M875" s="141">
        <v>0</v>
      </c>
      <c r="N875" s="141">
        <v>3000</v>
      </c>
      <c r="O875" s="141" t="s">
        <v>4364</v>
      </c>
      <c r="P875" s="141" t="s">
        <v>4365</v>
      </c>
    </row>
    <row r="876" spans="1:16" ht="25.5">
      <c r="A876" s="141">
        <v>76807</v>
      </c>
      <c r="B876" s="141" t="s">
        <v>4325</v>
      </c>
      <c r="C876" s="142">
        <v>41201</v>
      </c>
      <c r="D876" s="141">
        <v>736</v>
      </c>
      <c r="E876" s="141" t="str">
        <f t="shared" si="75"/>
        <v>001</v>
      </c>
      <c r="F876" s="141" t="s">
        <v>4326</v>
      </c>
      <c r="G876" s="141" t="str">
        <f t="shared" si="79"/>
        <v>0370</v>
      </c>
      <c r="H876" s="141" t="s">
        <v>2624</v>
      </c>
      <c r="I876" s="141" t="str">
        <f t="shared" si="76"/>
        <v>999</v>
      </c>
      <c r="J876" s="141" t="s">
        <v>4327</v>
      </c>
      <c r="K876" s="141">
        <v>2347</v>
      </c>
      <c r="L876" s="141">
        <v>1</v>
      </c>
      <c r="M876" s="141">
        <v>0</v>
      </c>
      <c r="N876" s="141">
        <v>29000</v>
      </c>
      <c r="O876" s="141" t="s">
        <v>4368</v>
      </c>
      <c r="P876" s="141"/>
    </row>
    <row r="877" spans="1:16" ht="25.5">
      <c r="A877" s="141">
        <v>76807</v>
      </c>
      <c r="B877" s="141" t="s">
        <v>4325</v>
      </c>
      <c r="C877" s="142">
        <v>41201</v>
      </c>
      <c r="D877" s="141">
        <v>736</v>
      </c>
      <c r="E877" s="141" t="str">
        <f t="shared" si="75"/>
        <v>001</v>
      </c>
      <c r="F877" s="141" t="s">
        <v>4326</v>
      </c>
      <c r="G877" s="141" t="str">
        <f t="shared" si="79"/>
        <v>0370</v>
      </c>
      <c r="H877" s="141" t="s">
        <v>2624</v>
      </c>
      <c r="I877" s="141" t="str">
        <f t="shared" si="76"/>
        <v>999</v>
      </c>
      <c r="J877" s="141" t="s">
        <v>4327</v>
      </c>
      <c r="K877" s="141">
        <v>2348</v>
      </c>
      <c r="L877" s="141">
        <v>1</v>
      </c>
      <c r="M877" s="141">
        <v>0</v>
      </c>
      <c r="N877" s="141">
        <v>2000</v>
      </c>
      <c r="O877" s="141" t="s">
        <v>4369</v>
      </c>
      <c r="P877" s="141" t="s">
        <v>4652</v>
      </c>
    </row>
    <row r="878" spans="1:16" ht="25.5">
      <c r="A878" s="141">
        <v>76807</v>
      </c>
      <c r="B878" s="141" t="s">
        <v>4325</v>
      </c>
      <c r="C878" s="142">
        <v>41201</v>
      </c>
      <c r="D878" s="141">
        <v>736</v>
      </c>
      <c r="E878" s="141" t="str">
        <f t="shared" si="75"/>
        <v>001</v>
      </c>
      <c r="F878" s="141" t="s">
        <v>4326</v>
      </c>
      <c r="G878" s="141" t="str">
        <f t="shared" si="79"/>
        <v>0370</v>
      </c>
      <c r="H878" s="141" t="s">
        <v>2624</v>
      </c>
      <c r="I878" s="141" t="str">
        <f t="shared" si="76"/>
        <v>999</v>
      </c>
      <c r="J878" s="141" t="s">
        <v>4327</v>
      </c>
      <c r="K878" s="141">
        <v>2349</v>
      </c>
      <c r="L878" s="141">
        <v>1</v>
      </c>
      <c r="M878" s="141">
        <v>0</v>
      </c>
      <c r="N878" s="141">
        <v>9000</v>
      </c>
      <c r="O878" s="141" t="s">
        <v>4550</v>
      </c>
      <c r="P878" s="141" t="s">
        <v>4372</v>
      </c>
    </row>
    <row r="879" spans="1:16" ht="25.5">
      <c r="A879" s="141">
        <v>76807</v>
      </c>
      <c r="B879" s="141" t="s">
        <v>4325</v>
      </c>
      <c r="C879" s="142">
        <v>41201</v>
      </c>
      <c r="D879" s="141">
        <v>736</v>
      </c>
      <c r="E879" s="141" t="str">
        <f t="shared" si="75"/>
        <v>001</v>
      </c>
      <c r="F879" s="141" t="s">
        <v>4326</v>
      </c>
      <c r="G879" s="141" t="str">
        <f t="shared" si="79"/>
        <v>0370</v>
      </c>
      <c r="H879" s="141" t="s">
        <v>2624</v>
      </c>
      <c r="I879" s="141" t="str">
        <f t="shared" si="76"/>
        <v>999</v>
      </c>
      <c r="J879" s="141" t="s">
        <v>4327</v>
      </c>
      <c r="K879" s="141">
        <v>2350</v>
      </c>
      <c r="L879" s="141">
        <v>1</v>
      </c>
      <c r="M879" s="141">
        <v>0</v>
      </c>
      <c r="N879" s="141">
        <v>9000</v>
      </c>
      <c r="O879" s="141" t="s">
        <v>4550</v>
      </c>
      <c r="P879" s="141" t="s">
        <v>4372</v>
      </c>
    </row>
    <row r="880" spans="1:16" ht="25.5">
      <c r="A880" s="141">
        <v>76807</v>
      </c>
      <c r="B880" s="141" t="s">
        <v>4325</v>
      </c>
      <c r="C880" s="142">
        <v>41201</v>
      </c>
      <c r="D880" s="141">
        <v>736</v>
      </c>
      <c r="E880" s="141" t="str">
        <f t="shared" si="75"/>
        <v>001</v>
      </c>
      <c r="F880" s="141" t="s">
        <v>4326</v>
      </c>
      <c r="G880" s="141" t="str">
        <f t="shared" si="79"/>
        <v>0370</v>
      </c>
      <c r="H880" s="141" t="s">
        <v>2624</v>
      </c>
      <c r="I880" s="141" t="str">
        <f t="shared" si="76"/>
        <v>999</v>
      </c>
      <c r="J880" s="141" t="s">
        <v>4327</v>
      </c>
      <c r="K880" s="141">
        <v>2351</v>
      </c>
      <c r="L880" s="141">
        <v>1</v>
      </c>
      <c r="M880" s="141">
        <v>0</v>
      </c>
      <c r="N880" s="141">
        <v>9000</v>
      </c>
      <c r="O880" s="141" t="s">
        <v>4550</v>
      </c>
      <c r="P880" s="141" t="s">
        <v>4372</v>
      </c>
    </row>
    <row r="881" spans="1:16" ht="25.5">
      <c r="A881" s="141">
        <v>76807</v>
      </c>
      <c r="B881" s="141" t="s">
        <v>4325</v>
      </c>
      <c r="C881" s="142">
        <v>41201</v>
      </c>
      <c r="D881" s="141">
        <v>736</v>
      </c>
      <c r="E881" s="141" t="str">
        <f t="shared" si="75"/>
        <v>001</v>
      </c>
      <c r="F881" s="141" t="s">
        <v>4326</v>
      </c>
      <c r="G881" s="141" t="str">
        <f t="shared" si="79"/>
        <v>0370</v>
      </c>
      <c r="H881" s="141" t="s">
        <v>2624</v>
      </c>
      <c r="I881" s="141" t="str">
        <f t="shared" si="76"/>
        <v>999</v>
      </c>
      <c r="J881" s="141" t="s">
        <v>4327</v>
      </c>
      <c r="K881" s="141">
        <v>2352</v>
      </c>
      <c r="L881" s="141">
        <v>1</v>
      </c>
      <c r="M881" s="141">
        <v>0</v>
      </c>
      <c r="N881" s="141">
        <v>9000</v>
      </c>
      <c r="O881" s="141" t="s">
        <v>4550</v>
      </c>
      <c r="P881" s="141" t="s">
        <v>4372</v>
      </c>
    </row>
    <row r="882" spans="1:16" ht="25.5">
      <c r="A882" s="141">
        <v>76807</v>
      </c>
      <c r="B882" s="141" t="s">
        <v>4325</v>
      </c>
      <c r="C882" s="142">
        <v>41201</v>
      </c>
      <c r="D882" s="141">
        <v>736</v>
      </c>
      <c r="E882" s="141" t="str">
        <f t="shared" si="75"/>
        <v>001</v>
      </c>
      <c r="F882" s="141" t="s">
        <v>4326</v>
      </c>
      <c r="G882" s="141" t="str">
        <f t="shared" si="79"/>
        <v>0370</v>
      </c>
      <c r="H882" s="141" t="s">
        <v>2624</v>
      </c>
      <c r="I882" s="141" t="str">
        <f t="shared" si="76"/>
        <v>999</v>
      </c>
      <c r="J882" s="141" t="s">
        <v>4327</v>
      </c>
      <c r="K882" s="141">
        <v>2353</v>
      </c>
      <c r="L882" s="141">
        <v>1</v>
      </c>
      <c r="M882" s="141">
        <v>0</v>
      </c>
      <c r="N882" s="141">
        <v>9000</v>
      </c>
      <c r="O882" s="141" t="s">
        <v>4550</v>
      </c>
      <c r="P882" s="141" t="s">
        <v>4372</v>
      </c>
    </row>
    <row r="883" spans="1:16" ht="25.5">
      <c r="A883" s="141">
        <v>76807</v>
      </c>
      <c r="B883" s="141" t="s">
        <v>4325</v>
      </c>
      <c r="C883" s="142">
        <v>41201</v>
      </c>
      <c r="D883" s="141">
        <v>736</v>
      </c>
      <c r="E883" s="141" t="str">
        <f t="shared" si="75"/>
        <v>001</v>
      </c>
      <c r="F883" s="141" t="s">
        <v>4326</v>
      </c>
      <c r="G883" s="141" t="str">
        <f t="shared" si="79"/>
        <v>0370</v>
      </c>
      <c r="H883" s="141" t="s">
        <v>2624</v>
      </c>
      <c r="I883" s="141" t="str">
        <f t="shared" si="76"/>
        <v>999</v>
      </c>
      <c r="J883" s="141" t="s">
        <v>4327</v>
      </c>
      <c r="K883" s="141">
        <v>2354</v>
      </c>
      <c r="L883" s="141">
        <v>1</v>
      </c>
      <c r="M883" s="141">
        <v>0</v>
      </c>
      <c r="N883" s="141">
        <v>4000</v>
      </c>
      <c r="O883" s="141" t="s">
        <v>4371</v>
      </c>
      <c r="P883" s="141" t="s">
        <v>4372</v>
      </c>
    </row>
    <row r="884" spans="1:16" ht="25.5">
      <c r="A884" s="141">
        <v>76807</v>
      </c>
      <c r="B884" s="141" t="s">
        <v>4325</v>
      </c>
      <c r="C884" s="142">
        <v>41201</v>
      </c>
      <c r="D884" s="141">
        <v>736</v>
      </c>
      <c r="E884" s="141" t="str">
        <f t="shared" si="75"/>
        <v>001</v>
      </c>
      <c r="F884" s="141" t="s">
        <v>4326</v>
      </c>
      <c r="G884" s="141" t="str">
        <f t="shared" si="79"/>
        <v>0370</v>
      </c>
      <c r="H884" s="141" t="s">
        <v>2624</v>
      </c>
      <c r="I884" s="141" t="str">
        <f t="shared" si="76"/>
        <v>999</v>
      </c>
      <c r="J884" s="141" t="s">
        <v>4327</v>
      </c>
      <c r="K884" s="141">
        <v>2355</v>
      </c>
      <c r="L884" s="141">
        <v>1</v>
      </c>
      <c r="M884" s="141">
        <v>0</v>
      </c>
      <c r="N884" s="141">
        <v>4000</v>
      </c>
      <c r="O884" s="141" t="s">
        <v>4371</v>
      </c>
      <c r="P884" s="141" t="s">
        <v>4372</v>
      </c>
    </row>
    <row r="885" spans="1:16" ht="25.5">
      <c r="A885" s="141">
        <v>76807</v>
      </c>
      <c r="B885" s="141" t="s">
        <v>4325</v>
      </c>
      <c r="C885" s="142">
        <v>41201</v>
      </c>
      <c r="D885" s="141">
        <v>736</v>
      </c>
      <c r="E885" s="141" t="str">
        <f t="shared" si="75"/>
        <v>001</v>
      </c>
      <c r="F885" s="141" t="s">
        <v>4326</v>
      </c>
      <c r="G885" s="141" t="str">
        <f t="shared" si="79"/>
        <v>0370</v>
      </c>
      <c r="H885" s="141" t="s">
        <v>2624</v>
      </c>
      <c r="I885" s="141" t="str">
        <f t="shared" si="76"/>
        <v>999</v>
      </c>
      <c r="J885" s="141" t="s">
        <v>4327</v>
      </c>
      <c r="K885" s="141">
        <v>2356</v>
      </c>
      <c r="L885" s="141">
        <v>1</v>
      </c>
      <c r="M885" s="141">
        <v>0</v>
      </c>
      <c r="N885" s="141">
        <v>4000</v>
      </c>
      <c r="O885" s="141" t="s">
        <v>4371</v>
      </c>
      <c r="P885" s="141" t="s">
        <v>4372</v>
      </c>
    </row>
    <row r="886" spans="1:16" ht="25.5">
      <c r="A886" s="141">
        <v>76807</v>
      </c>
      <c r="B886" s="141" t="s">
        <v>4325</v>
      </c>
      <c r="C886" s="142">
        <v>41201</v>
      </c>
      <c r="D886" s="141">
        <v>736</v>
      </c>
      <c r="E886" s="141" t="str">
        <f t="shared" si="75"/>
        <v>001</v>
      </c>
      <c r="F886" s="141" t="s">
        <v>4326</v>
      </c>
      <c r="G886" s="141" t="str">
        <f t="shared" si="79"/>
        <v>0370</v>
      </c>
      <c r="H886" s="141" t="s">
        <v>2624</v>
      </c>
      <c r="I886" s="141" t="str">
        <f t="shared" si="76"/>
        <v>999</v>
      </c>
      <c r="J886" s="141" t="s">
        <v>4327</v>
      </c>
      <c r="K886" s="141">
        <v>2357</v>
      </c>
      <c r="L886" s="141">
        <v>1</v>
      </c>
      <c r="M886" s="141">
        <v>0</v>
      </c>
      <c r="N886" s="141">
        <v>4000</v>
      </c>
      <c r="O886" s="141" t="s">
        <v>4371</v>
      </c>
      <c r="P886" s="141" t="s">
        <v>4372</v>
      </c>
    </row>
    <row r="887" spans="1:16" ht="25.5">
      <c r="A887" s="141">
        <v>76807</v>
      </c>
      <c r="B887" s="141" t="s">
        <v>4325</v>
      </c>
      <c r="C887" s="142">
        <v>41201</v>
      </c>
      <c r="D887" s="141">
        <v>736</v>
      </c>
      <c r="E887" s="141" t="str">
        <f t="shared" si="75"/>
        <v>001</v>
      </c>
      <c r="F887" s="141" t="s">
        <v>4326</v>
      </c>
      <c r="G887" s="141" t="str">
        <f t="shared" si="79"/>
        <v>0370</v>
      </c>
      <c r="H887" s="141" t="s">
        <v>2624</v>
      </c>
      <c r="I887" s="141" t="str">
        <f t="shared" si="76"/>
        <v>999</v>
      </c>
      <c r="J887" s="141" t="s">
        <v>4327</v>
      </c>
      <c r="K887" s="141">
        <v>2358</v>
      </c>
      <c r="L887" s="141">
        <v>3</v>
      </c>
      <c r="M887" s="141">
        <v>0</v>
      </c>
      <c r="N887" s="141">
        <v>19000</v>
      </c>
      <c r="O887" s="141" t="s">
        <v>4407</v>
      </c>
      <c r="P887" s="141"/>
    </row>
    <row r="888" spans="1:16" ht="25.5">
      <c r="A888" s="141">
        <v>76807</v>
      </c>
      <c r="B888" s="141" t="s">
        <v>4325</v>
      </c>
      <c r="C888" s="142">
        <v>41201</v>
      </c>
      <c r="D888" s="141">
        <v>407</v>
      </c>
      <c r="E888" s="141" t="str">
        <f t="shared" si="75"/>
        <v>001</v>
      </c>
      <c r="F888" s="141" t="s">
        <v>4326</v>
      </c>
      <c r="G888" s="141" t="str">
        <f t="shared" ref="G888:G896" si="80">"0372"</f>
        <v>0372</v>
      </c>
      <c r="H888" s="141" t="s">
        <v>1638</v>
      </c>
      <c r="I888" s="141" t="str">
        <f t="shared" si="76"/>
        <v>999</v>
      </c>
      <c r="J888" s="141" t="s">
        <v>4327</v>
      </c>
      <c r="K888" s="141">
        <v>1094</v>
      </c>
      <c r="L888" s="141">
        <v>2</v>
      </c>
      <c r="M888" s="141">
        <v>0</v>
      </c>
      <c r="N888" s="141">
        <v>4000</v>
      </c>
      <c r="O888" s="141" t="s">
        <v>4408</v>
      </c>
      <c r="P888" s="141"/>
    </row>
    <row r="889" spans="1:16" ht="25.5">
      <c r="A889" s="141">
        <v>76807</v>
      </c>
      <c r="B889" s="141" t="s">
        <v>4325</v>
      </c>
      <c r="C889" s="142">
        <v>41201</v>
      </c>
      <c r="D889" s="141">
        <v>407</v>
      </c>
      <c r="E889" s="141" t="str">
        <f t="shared" si="75"/>
        <v>001</v>
      </c>
      <c r="F889" s="141" t="s">
        <v>4326</v>
      </c>
      <c r="G889" s="141" t="str">
        <f t="shared" si="80"/>
        <v>0372</v>
      </c>
      <c r="H889" s="141" t="s">
        <v>1638</v>
      </c>
      <c r="I889" s="141" t="str">
        <f t="shared" si="76"/>
        <v>999</v>
      </c>
      <c r="J889" s="141" t="s">
        <v>4327</v>
      </c>
      <c r="K889" s="141">
        <v>1095</v>
      </c>
      <c r="L889" s="141">
        <v>4</v>
      </c>
      <c r="M889" s="141">
        <v>0</v>
      </c>
      <c r="N889" s="141">
        <v>26000</v>
      </c>
      <c r="O889" s="141" t="s">
        <v>4407</v>
      </c>
      <c r="P889" s="141"/>
    </row>
    <row r="890" spans="1:16" ht="25.5">
      <c r="A890" s="141">
        <v>76807</v>
      </c>
      <c r="B890" s="141" t="s">
        <v>4325</v>
      </c>
      <c r="C890" s="142">
        <v>41201</v>
      </c>
      <c r="D890" s="141">
        <v>407</v>
      </c>
      <c r="E890" s="141" t="str">
        <f t="shared" si="75"/>
        <v>001</v>
      </c>
      <c r="F890" s="141" t="s">
        <v>4326</v>
      </c>
      <c r="G890" s="141" t="str">
        <f t="shared" si="80"/>
        <v>0372</v>
      </c>
      <c r="H890" s="141" t="s">
        <v>1638</v>
      </c>
      <c r="I890" s="141" t="str">
        <f t="shared" si="76"/>
        <v>999</v>
      </c>
      <c r="J890" s="141" t="s">
        <v>4327</v>
      </c>
      <c r="K890" s="141">
        <v>1096</v>
      </c>
      <c r="L890" s="141">
        <v>4</v>
      </c>
      <c r="M890" s="141">
        <v>0</v>
      </c>
      <c r="N890" s="141">
        <v>3000</v>
      </c>
      <c r="O890" s="141" t="s">
        <v>4343</v>
      </c>
      <c r="P890" s="141"/>
    </row>
    <row r="891" spans="1:16" ht="25.5">
      <c r="A891" s="141">
        <v>76807</v>
      </c>
      <c r="B891" s="141" t="s">
        <v>4325</v>
      </c>
      <c r="C891" s="142">
        <v>41201</v>
      </c>
      <c r="D891" s="141">
        <v>407</v>
      </c>
      <c r="E891" s="141" t="str">
        <f t="shared" si="75"/>
        <v>001</v>
      </c>
      <c r="F891" s="141" t="s">
        <v>4326</v>
      </c>
      <c r="G891" s="141" t="str">
        <f t="shared" si="80"/>
        <v>0372</v>
      </c>
      <c r="H891" s="141" t="s">
        <v>1638</v>
      </c>
      <c r="I891" s="141" t="str">
        <f t="shared" si="76"/>
        <v>999</v>
      </c>
      <c r="J891" s="141" t="s">
        <v>4327</v>
      </c>
      <c r="K891" s="141">
        <v>1097</v>
      </c>
      <c r="L891" s="141">
        <v>4</v>
      </c>
      <c r="M891" s="141">
        <v>0</v>
      </c>
      <c r="N891" s="141">
        <v>2000</v>
      </c>
      <c r="O891" s="141" t="s">
        <v>4350</v>
      </c>
      <c r="P891" s="141"/>
    </row>
    <row r="892" spans="1:16" ht="25.5">
      <c r="A892" s="141">
        <v>76807</v>
      </c>
      <c r="B892" s="141" t="s">
        <v>4325</v>
      </c>
      <c r="C892" s="142">
        <v>41201</v>
      </c>
      <c r="D892" s="141">
        <v>407</v>
      </c>
      <c r="E892" s="141" t="str">
        <f t="shared" si="75"/>
        <v>001</v>
      </c>
      <c r="F892" s="141" t="s">
        <v>4326</v>
      </c>
      <c r="G892" s="141" t="str">
        <f t="shared" si="80"/>
        <v>0372</v>
      </c>
      <c r="H892" s="141" t="s">
        <v>1638</v>
      </c>
      <c r="I892" s="141" t="str">
        <f t="shared" si="76"/>
        <v>999</v>
      </c>
      <c r="J892" s="141" t="s">
        <v>4327</v>
      </c>
      <c r="K892" s="141">
        <v>1098</v>
      </c>
      <c r="L892" s="141">
        <v>6</v>
      </c>
      <c r="M892" s="141">
        <v>0</v>
      </c>
      <c r="N892" s="141">
        <v>87000</v>
      </c>
      <c r="O892" s="141" t="s">
        <v>4357</v>
      </c>
      <c r="P892" s="141" t="s">
        <v>4476</v>
      </c>
    </row>
    <row r="893" spans="1:16" ht="25.5">
      <c r="A893" s="141">
        <v>76807</v>
      </c>
      <c r="B893" s="141" t="s">
        <v>4325</v>
      </c>
      <c r="C893" s="142">
        <v>41201</v>
      </c>
      <c r="D893" s="141">
        <v>407</v>
      </c>
      <c r="E893" s="141" t="str">
        <f t="shared" si="75"/>
        <v>001</v>
      </c>
      <c r="F893" s="141" t="s">
        <v>4326</v>
      </c>
      <c r="G893" s="141" t="str">
        <f t="shared" si="80"/>
        <v>0372</v>
      </c>
      <c r="H893" s="141" t="s">
        <v>1638</v>
      </c>
      <c r="I893" s="141" t="str">
        <f t="shared" si="76"/>
        <v>999</v>
      </c>
      <c r="J893" s="141" t="s">
        <v>4327</v>
      </c>
      <c r="K893" s="141">
        <v>1099</v>
      </c>
      <c r="L893" s="141">
        <v>4</v>
      </c>
      <c r="M893" s="141">
        <v>0</v>
      </c>
      <c r="N893" s="141">
        <v>81000</v>
      </c>
      <c r="O893" s="141" t="s">
        <v>4357</v>
      </c>
      <c r="P893" s="141" t="s">
        <v>4503</v>
      </c>
    </row>
    <row r="894" spans="1:16" ht="25.5">
      <c r="A894" s="141">
        <v>76807</v>
      </c>
      <c r="B894" s="141" t="s">
        <v>4325</v>
      </c>
      <c r="C894" s="142">
        <v>41201</v>
      </c>
      <c r="D894" s="141">
        <v>407</v>
      </c>
      <c r="E894" s="141" t="str">
        <f t="shared" si="75"/>
        <v>001</v>
      </c>
      <c r="F894" s="141" t="s">
        <v>4326</v>
      </c>
      <c r="G894" s="141" t="str">
        <f t="shared" si="80"/>
        <v>0372</v>
      </c>
      <c r="H894" s="141" t="s">
        <v>1638</v>
      </c>
      <c r="I894" s="141" t="str">
        <f t="shared" si="76"/>
        <v>999</v>
      </c>
      <c r="J894" s="141" t="s">
        <v>4327</v>
      </c>
      <c r="K894" s="141">
        <v>1100</v>
      </c>
      <c r="L894" s="141">
        <v>6</v>
      </c>
      <c r="M894" s="141">
        <v>0</v>
      </c>
      <c r="N894" s="141">
        <v>70000</v>
      </c>
      <c r="O894" s="141" t="s">
        <v>4357</v>
      </c>
      <c r="P894" s="141" t="s">
        <v>4417</v>
      </c>
    </row>
    <row r="895" spans="1:16" ht="25.5">
      <c r="A895" s="141">
        <v>76807</v>
      </c>
      <c r="B895" s="141" t="s">
        <v>4325</v>
      </c>
      <c r="C895" s="142">
        <v>41201</v>
      </c>
      <c r="D895" s="141">
        <v>407</v>
      </c>
      <c r="E895" s="141" t="str">
        <f t="shared" si="75"/>
        <v>001</v>
      </c>
      <c r="F895" s="141" t="s">
        <v>4326</v>
      </c>
      <c r="G895" s="141" t="str">
        <f t="shared" si="80"/>
        <v>0372</v>
      </c>
      <c r="H895" s="141" t="s">
        <v>1638</v>
      </c>
      <c r="I895" s="141" t="str">
        <f t="shared" si="76"/>
        <v>999</v>
      </c>
      <c r="J895" s="141" t="s">
        <v>4327</v>
      </c>
      <c r="K895" s="141">
        <v>1101</v>
      </c>
      <c r="L895" s="141">
        <v>1</v>
      </c>
      <c r="M895" s="141">
        <v>0</v>
      </c>
      <c r="N895" s="141">
        <v>46000</v>
      </c>
      <c r="O895" s="141" t="s">
        <v>4337</v>
      </c>
      <c r="P895" s="141" t="s">
        <v>4653</v>
      </c>
    </row>
    <row r="896" spans="1:16" ht="25.5">
      <c r="A896" s="141">
        <v>76807</v>
      </c>
      <c r="B896" s="141" t="s">
        <v>4325</v>
      </c>
      <c r="C896" s="142">
        <v>41201</v>
      </c>
      <c r="D896" s="141">
        <v>407</v>
      </c>
      <c r="E896" s="141" t="str">
        <f t="shared" si="75"/>
        <v>001</v>
      </c>
      <c r="F896" s="141" t="s">
        <v>4326</v>
      </c>
      <c r="G896" s="141" t="str">
        <f t="shared" si="80"/>
        <v>0372</v>
      </c>
      <c r="H896" s="141" t="s">
        <v>1638</v>
      </c>
      <c r="I896" s="141" t="str">
        <f t="shared" si="76"/>
        <v>999</v>
      </c>
      <c r="J896" s="141" t="s">
        <v>4327</v>
      </c>
      <c r="K896" s="141">
        <v>1102</v>
      </c>
      <c r="L896" s="141">
        <v>1</v>
      </c>
      <c r="M896" s="141">
        <v>0</v>
      </c>
      <c r="N896" s="141">
        <v>3000</v>
      </c>
      <c r="O896" s="141" t="s">
        <v>4330</v>
      </c>
      <c r="P896" s="141" t="s">
        <v>4331</v>
      </c>
    </row>
    <row r="897" spans="1:16" ht="25.5">
      <c r="A897" s="141">
        <v>76807</v>
      </c>
      <c r="B897" s="141" t="s">
        <v>4325</v>
      </c>
      <c r="C897" s="142">
        <v>41201</v>
      </c>
      <c r="D897" s="141">
        <v>439</v>
      </c>
      <c r="E897" s="141" t="str">
        <f t="shared" si="75"/>
        <v>001</v>
      </c>
      <c r="F897" s="141" t="s">
        <v>4326</v>
      </c>
      <c r="G897" s="141" t="str">
        <f t="shared" ref="G897:G903" si="81">"0373"</f>
        <v>0373</v>
      </c>
      <c r="H897" s="141" t="s">
        <v>1639</v>
      </c>
      <c r="I897" s="141" t="str">
        <f t="shared" si="76"/>
        <v>999</v>
      </c>
      <c r="J897" s="141" t="s">
        <v>4327</v>
      </c>
      <c r="K897" s="141">
        <v>1287</v>
      </c>
      <c r="L897" s="141">
        <v>1</v>
      </c>
      <c r="M897" s="141">
        <v>0</v>
      </c>
      <c r="N897" s="141">
        <v>7000</v>
      </c>
      <c r="O897" s="141" t="s">
        <v>4380</v>
      </c>
      <c r="P897" s="141" t="s">
        <v>4654</v>
      </c>
    </row>
    <row r="898" spans="1:16" ht="25.5">
      <c r="A898" s="141">
        <v>76807</v>
      </c>
      <c r="B898" s="141" t="s">
        <v>4325</v>
      </c>
      <c r="C898" s="142">
        <v>41201</v>
      </c>
      <c r="D898" s="141">
        <v>439</v>
      </c>
      <c r="E898" s="141" t="str">
        <f t="shared" ref="E898:E961" si="82">"001"</f>
        <v>001</v>
      </c>
      <c r="F898" s="141" t="s">
        <v>4326</v>
      </c>
      <c r="G898" s="141" t="str">
        <f t="shared" si="81"/>
        <v>0373</v>
      </c>
      <c r="H898" s="141" t="s">
        <v>1639</v>
      </c>
      <c r="I898" s="141" t="str">
        <f t="shared" ref="I898:I961" si="83">"999"</f>
        <v>999</v>
      </c>
      <c r="J898" s="141" t="s">
        <v>4327</v>
      </c>
      <c r="K898" s="141">
        <v>1288</v>
      </c>
      <c r="L898" s="141">
        <v>4</v>
      </c>
      <c r="M898" s="141">
        <v>0</v>
      </c>
      <c r="N898" s="141">
        <v>9000</v>
      </c>
      <c r="O898" s="141" t="s">
        <v>4408</v>
      </c>
      <c r="P898" s="141"/>
    </row>
    <row r="899" spans="1:16" ht="25.5">
      <c r="A899" s="141">
        <v>76807</v>
      </c>
      <c r="B899" s="141" t="s">
        <v>4325</v>
      </c>
      <c r="C899" s="142">
        <v>41201</v>
      </c>
      <c r="D899" s="141">
        <v>439</v>
      </c>
      <c r="E899" s="141" t="str">
        <f t="shared" si="82"/>
        <v>001</v>
      </c>
      <c r="F899" s="141" t="s">
        <v>4326</v>
      </c>
      <c r="G899" s="141" t="str">
        <f t="shared" si="81"/>
        <v>0373</v>
      </c>
      <c r="H899" s="141" t="s">
        <v>1639</v>
      </c>
      <c r="I899" s="141" t="str">
        <f t="shared" si="83"/>
        <v>999</v>
      </c>
      <c r="J899" s="141" t="s">
        <v>4327</v>
      </c>
      <c r="K899" s="141">
        <v>1289</v>
      </c>
      <c r="L899" s="141">
        <v>2</v>
      </c>
      <c r="M899" s="141">
        <v>0</v>
      </c>
      <c r="N899" s="141">
        <v>13000</v>
      </c>
      <c r="O899" s="141" t="s">
        <v>4407</v>
      </c>
      <c r="P899" s="141"/>
    </row>
    <row r="900" spans="1:16" ht="25.5">
      <c r="A900" s="141">
        <v>76807</v>
      </c>
      <c r="B900" s="141" t="s">
        <v>4325</v>
      </c>
      <c r="C900" s="142">
        <v>41201</v>
      </c>
      <c r="D900" s="141">
        <v>439</v>
      </c>
      <c r="E900" s="141" t="str">
        <f t="shared" si="82"/>
        <v>001</v>
      </c>
      <c r="F900" s="141" t="s">
        <v>4326</v>
      </c>
      <c r="G900" s="141" t="str">
        <f t="shared" si="81"/>
        <v>0373</v>
      </c>
      <c r="H900" s="141" t="s">
        <v>1639</v>
      </c>
      <c r="I900" s="141" t="str">
        <f t="shared" si="83"/>
        <v>999</v>
      </c>
      <c r="J900" s="141" t="s">
        <v>4327</v>
      </c>
      <c r="K900" s="141">
        <v>1290</v>
      </c>
      <c r="L900" s="141">
        <v>1</v>
      </c>
      <c r="M900" s="141">
        <v>0</v>
      </c>
      <c r="N900" s="141">
        <v>32000</v>
      </c>
      <c r="O900" s="141" t="s">
        <v>4337</v>
      </c>
      <c r="P900" s="141" t="s">
        <v>4480</v>
      </c>
    </row>
    <row r="901" spans="1:16" ht="25.5">
      <c r="A901" s="141">
        <v>76807</v>
      </c>
      <c r="B901" s="141" t="s">
        <v>4325</v>
      </c>
      <c r="C901" s="142">
        <v>41201</v>
      </c>
      <c r="D901" s="141">
        <v>439</v>
      </c>
      <c r="E901" s="141" t="str">
        <f t="shared" si="82"/>
        <v>001</v>
      </c>
      <c r="F901" s="141" t="s">
        <v>4326</v>
      </c>
      <c r="G901" s="141" t="str">
        <f t="shared" si="81"/>
        <v>0373</v>
      </c>
      <c r="H901" s="141" t="s">
        <v>1639</v>
      </c>
      <c r="I901" s="141" t="str">
        <f t="shared" si="83"/>
        <v>999</v>
      </c>
      <c r="J901" s="141" t="s">
        <v>4327</v>
      </c>
      <c r="K901" s="141">
        <v>1291</v>
      </c>
      <c r="L901" s="141">
        <v>1</v>
      </c>
      <c r="M901" s="141">
        <v>0</v>
      </c>
      <c r="N901" s="141">
        <v>8000</v>
      </c>
      <c r="O901" s="141" t="s">
        <v>4337</v>
      </c>
      <c r="P901" s="141" t="s">
        <v>4423</v>
      </c>
    </row>
    <row r="902" spans="1:16" ht="25.5">
      <c r="A902" s="141">
        <v>76807</v>
      </c>
      <c r="B902" s="141" t="s">
        <v>4325</v>
      </c>
      <c r="C902" s="142">
        <v>41201</v>
      </c>
      <c r="D902" s="141">
        <v>439</v>
      </c>
      <c r="E902" s="141" t="str">
        <f t="shared" si="82"/>
        <v>001</v>
      </c>
      <c r="F902" s="141" t="s">
        <v>4326</v>
      </c>
      <c r="G902" s="141" t="str">
        <f t="shared" si="81"/>
        <v>0373</v>
      </c>
      <c r="H902" s="141" t="s">
        <v>1639</v>
      </c>
      <c r="I902" s="141" t="str">
        <f t="shared" si="83"/>
        <v>999</v>
      </c>
      <c r="J902" s="141" t="s">
        <v>4327</v>
      </c>
      <c r="K902" s="141">
        <v>1292</v>
      </c>
      <c r="L902" s="141">
        <v>18</v>
      </c>
      <c r="M902" s="141">
        <v>0</v>
      </c>
      <c r="N902" s="141">
        <v>296000</v>
      </c>
      <c r="O902" s="141" t="s">
        <v>4475</v>
      </c>
      <c r="P902" s="141" t="s">
        <v>4495</v>
      </c>
    </row>
    <row r="903" spans="1:16" ht="25.5">
      <c r="A903" s="141">
        <v>76807</v>
      </c>
      <c r="B903" s="141" t="s">
        <v>4325</v>
      </c>
      <c r="C903" s="142">
        <v>41201</v>
      </c>
      <c r="D903" s="141">
        <v>439</v>
      </c>
      <c r="E903" s="141" t="str">
        <f t="shared" si="82"/>
        <v>001</v>
      </c>
      <c r="F903" s="141" t="s">
        <v>4326</v>
      </c>
      <c r="G903" s="141" t="str">
        <f t="shared" si="81"/>
        <v>0373</v>
      </c>
      <c r="H903" s="141" t="s">
        <v>1639</v>
      </c>
      <c r="I903" s="141" t="str">
        <f t="shared" si="83"/>
        <v>999</v>
      </c>
      <c r="J903" s="141" t="s">
        <v>4327</v>
      </c>
      <c r="K903" s="141">
        <v>1293</v>
      </c>
      <c r="L903" s="141">
        <v>4</v>
      </c>
      <c r="M903" s="141">
        <v>0</v>
      </c>
      <c r="N903" s="141">
        <v>41000</v>
      </c>
      <c r="O903" s="141" t="s">
        <v>4334</v>
      </c>
      <c r="P903" s="141" t="s">
        <v>4495</v>
      </c>
    </row>
    <row r="904" spans="1:16" ht="25.5">
      <c r="A904" s="141">
        <v>76807</v>
      </c>
      <c r="B904" s="141" t="s">
        <v>4325</v>
      </c>
      <c r="C904" s="142">
        <v>41201</v>
      </c>
      <c r="D904" s="141">
        <v>1165</v>
      </c>
      <c r="E904" s="141" t="str">
        <f t="shared" si="82"/>
        <v>001</v>
      </c>
      <c r="F904" s="141" t="s">
        <v>4326</v>
      </c>
      <c r="G904" s="141" t="str">
        <f t="shared" ref="G904:G928" si="84">"0374"</f>
        <v>0374</v>
      </c>
      <c r="H904" s="141" t="s">
        <v>2386</v>
      </c>
      <c r="I904" s="141" t="str">
        <f t="shared" si="83"/>
        <v>999</v>
      </c>
      <c r="J904" s="141" t="s">
        <v>4327</v>
      </c>
      <c r="K904" s="141">
        <v>3001</v>
      </c>
      <c r="L904" s="141">
        <v>1</v>
      </c>
      <c r="M904" s="141">
        <v>0</v>
      </c>
      <c r="N904" s="141">
        <v>28000</v>
      </c>
      <c r="O904" s="141" t="s">
        <v>4328</v>
      </c>
      <c r="P904" s="141" t="s">
        <v>4655</v>
      </c>
    </row>
    <row r="905" spans="1:16" ht="25.5">
      <c r="A905" s="141">
        <v>76807</v>
      </c>
      <c r="B905" s="141" t="s">
        <v>4325</v>
      </c>
      <c r="C905" s="142">
        <v>41201</v>
      </c>
      <c r="D905" s="141">
        <v>1165</v>
      </c>
      <c r="E905" s="141" t="str">
        <f t="shared" si="82"/>
        <v>001</v>
      </c>
      <c r="F905" s="141" t="s">
        <v>4326</v>
      </c>
      <c r="G905" s="141" t="str">
        <f t="shared" si="84"/>
        <v>0374</v>
      </c>
      <c r="H905" s="141" t="s">
        <v>2386</v>
      </c>
      <c r="I905" s="141" t="str">
        <f t="shared" si="83"/>
        <v>999</v>
      </c>
      <c r="J905" s="141" t="s">
        <v>4327</v>
      </c>
      <c r="K905" s="141">
        <v>3002</v>
      </c>
      <c r="L905" s="141">
        <v>1</v>
      </c>
      <c r="M905" s="141">
        <v>0</v>
      </c>
      <c r="N905" s="141">
        <v>70000</v>
      </c>
      <c r="O905" s="141" t="s">
        <v>4631</v>
      </c>
      <c r="P905" s="141" t="s">
        <v>4612</v>
      </c>
    </row>
    <row r="906" spans="1:16" ht="25.5">
      <c r="A906" s="141">
        <v>76807</v>
      </c>
      <c r="B906" s="141" t="s">
        <v>4325</v>
      </c>
      <c r="C906" s="142">
        <v>41201</v>
      </c>
      <c r="D906" s="141">
        <v>1165</v>
      </c>
      <c r="E906" s="141" t="str">
        <f t="shared" si="82"/>
        <v>001</v>
      </c>
      <c r="F906" s="141" t="s">
        <v>4326</v>
      </c>
      <c r="G906" s="141" t="str">
        <f t="shared" si="84"/>
        <v>0374</v>
      </c>
      <c r="H906" s="141" t="s">
        <v>2386</v>
      </c>
      <c r="I906" s="141" t="str">
        <f t="shared" si="83"/>
        <v>999</v>
      </c>
      <c r="J906" s="141" t="s">
        <v>4327</v>
      </c>
      <c r="K906" s="141">
        <v>3003</v>
      </c>
      <c r="L906" s="141">
        <v>10</v>
      </c>
      <c r="M906" s="141">
        <v>0</v>
      </c>
      <c r="N906" s="141">
        <v>79000</v>
      </c>
      <c r="O906" s="141" t="s">
        <v>4357</v>
      </c>
      <c r="P906" s="141" t="s">
        <v>4547</v>
      </c>
    </row>
    <row r="907" spans="1:16" ht="25.5">
      <c r="A907" s="141">
        <v>76807</v>
      </c>
      <c r="B907" s="141" t="s">
        <v>4325</v>
      </c>
      <c r="C907" s="142">
        <v>41201</v>
      </c>
      <c r="D907" s="141">
        <v>1165</v>
      </c>
      <c r="E907" s="141" t="str">
        <f t="shared" si="82"/>
        <v>001</v>
      </c>
      <c r="F907" s="141" t="s">
        <v>4326</v>
      </c>
      <c r="G907" s="141" t="str">
        <f t="shared" si="84"/>
        <v>0374</v>
      </c>
      <c r="H907" s="141" t="s">
        <v>2386</v>
      </c>
      <c r="I907" s="141" t="str">
        <f t="shared" si="83"/>
        <v>999</v>
      </c>
      <c r="J907" s="141" t="s">
        <v>4327</v>
      </c>
      <c r="K907" s="141">
        <v>3004</v>
      </c>
      <c r="L907" s="141">
        <v>2</v>
      </c>
      <c r="M907" s="141">
        <v>0</v>
      </c>
      <c r="N907" s="141">
        <v>17000</v>
      </c>
      <c r="O907" s="141" t="s">
        <v>4357</v>
      </c>
      <c r="P907" s="141" t="s">
        <v>4628</v>
      </c>
    </row>
    <row r="908" spans="1:16" ht="25.5">
      <c r="A908" s="141">
        <v>76807</v>
      </c>
      <c r="B908" s="141" t="s">
        <v>4325</v>
      </c>
      <c r="C908" s="142">
        <v>41201</v>
      </c>
      <c r="D908" s="141">
        <v>1165</v>
      </c>
      <c r="E908" s="141" t="str">
        <f t="shared" si="82"/>
        <v>001</v>
      </c>
      <c r="F908" s="141" t="s">
        <v>4326</v>
      </c>
      <c r="G908" s="141" t="str">
        <f t="shared" si="84"/>
        <v>0374</v>
      </c>
      <c r="H908" s="141" t="s">
        <v>2386</v>
      </c>
      <c r="I908" s="141" t="str">
        <f t="shared" si="83"/>
        <v>999</v>
      </c>
      <c r="J908" s="141" t="s">
        <v>4327</v>
      </c>
      <c r="K908" s="141">
        <v>3005</v>
      </c>
      <c r="L908" s="141">
        <v>2</v>
      </c>
      <c r="M908" s="141">
        <v>0</v>
      </c>
      <c r="N908" s="141">
        <v>23000</v>
      </c>
      <c r="O908" s="141" t="s">
        <v>4357</v>
      </c>
      <c r="P908" s="141" t="s">
        <v>4656</v>
      </c>
    </row>
    <row r="909" spans="1:16" ht="25.5">
      <c r="A909" s="141">
        <v>76807</v>
      </c>
      <c r="B909" s="141" t="s">
        <v>4325</v>
      </c>
      <c r="C909" s="142">
        <v>41201</v>
      </c>
      <c r="D909" s="141">
        <v>1165</v>
      </c>
      <c r="E909" s="141" t="str">
        <f t="shared" si="82"/>
        <v>001</v>
      </c>
      <c r="F909" s="141" t="s">
        <v>4326</v>
      </c>
      <c r="G909" s="141" t="str">
        <f t="shared" si="84"/>
        <v>0374</v>
      </c>
      <c r="H909" s="141" t="s">
        <v>2386</v>
      </c>
      <c r="I909" s="141" t="str">
        <f t="shared" si="83"/>
        <v>999</v>
      </c>
      <c r="J909" s="141" t="s">
        <v>4327</v>
      </c>
      <c r="K909" s="141">
        <v>3006</v>
      </c>
      <c r="L909" s="141">
        <v>8</v>
      </c>
      <c r="M909" s="141">
        <v>0</v>
      </c>
      <c r="N909" s="141">
        <v>18000</v>
      </c>
      <c r="O909" s="141" t="s">
        <v>4334</v>
      </c>
      <c r="P909" s="141" t="s">
        <v>4340</v>
      </c>
    </row>
    <row r="910" spans="1:16" ht="25.5">
      <c r="A910" s="141">
        <v>76807</v>
      </c>
      <c r="B910" s="141" t="s">
        <v>4325</v>
      </c>
      <c r="C910" s="142">
        <v>41201</v>
      </c>
      <c r="D910" s="141">
        <v>1165</v>
      </c>
      <c r="E910" s="141" t="str">
        <f t="shared" si="82"/>
        <v>001</v>
      </c>
      <c r="F910" s="141" t="s">
        <v>4326</v>
      </c>
      <c r="G910" s="141" t="str">
        <f t="shared" si="84"/>
        <v>0374</v>
      </c>
      <c r="H910" s="141" t="s">
        <v>2386</v>
      </c>
      <c r="I910" s="141" t="str">
        <f t="shared" si="83"/>
        <v>999</v>
      </c>
      <c r="J910" s="141" t="s">
        <v>4327</v>
      </c>
      <c r="K910" s="141">
        <v>3007</v>
      </c>
      <c r="L910" s="141">
        <v>1</v>
      </c>
      <c r="M910" s="141">
        <v>0</v>
      </c>
      <c r="N910" s="141">
        <v>1000</v>
      </c>
      <c r="O910" s="141" t="s">
        <v>4434</v>
      </c>
      <c r="P910" s="141"/>
    </row>
    <row r="911" spans="1:16" ht="25.5">
      <c r="A911" s="141">
        <v>76807</v>
      </c>
      <c r="B911" s="141" t="s">
        <v>4325</v>
      </c>
      <c r="C911" s="142">
        <v>41201</v>
      </c>
      <c r="D911" s="141">
        <v>1165</v>
      </c>
      <c r="E911" s="141" t="str">
        <f t="shared" si="82"/>
        <v>001</v>
      </c>
      <c r="F911" s="141" t="s">
        <v>4326</v>
      </c>
      <c r="G911" s="141" t="str">
        <f t="shared" si="84"/>
        <v>0374</v>
      </c>
      <c r="H911" s="141" t="s">
        <v>2386</v>
      </c>
      <c r="I911" s="141" t="str">
        <f t="shared" si="83"/>
        <v>999</v>
      </c>
      <c r="J911" s="141" t="s">
        <v>4327</v>
      </c>
      <c r="K911" s="141">
        <v>3008</v>
      </c>
      <c r="L911" s="141">
        <v>1</v>
      </c>
      <c r="M911" s="141">
        <v>0</v>
      </c>
      <c r="N911" s="141">
        <v>7000</v>
      </c>
      <c r="O911" s="141" t="s">
        <v>4657</v>
      </c>
      <c r="P911" s="141" t="s">
        <v>4658</v>
      </c>
    </row>
    <row r="912" spans="1:16" ht="25.5">
      <c r="A912" s="141">
        <v>76807</v>
      </c>
      <c r="B912" s="141" t="s">
        <v>4325</v>
      </c>
      <c r="C912" s="142">
        <v>41201</v>
      </c>
      <c r="D912" s="141">
        <v>1165</v>
      </c>
      <c r="E912" s="141" t="str">
        <f t="shared" si="82"/>
        <v>001</v>
      </c>
      <c r="F912" s="141" t="s">
        <v>4326</v>
      </c>
      <c r="G912" s="141" t="str">
        <f t="shared" si="84"/>
        <v>0374</v>
      </c>
      <c r="H912" s="141" t="s">
        <v>2386</v>
      </c>
      <c r="I912" s="141" t="str">
        <f t="shared" si="83"/>
        <v>999</v>
      </c>
      <c r="J912" s="141" t="s">
        <v>4327</v>
      </c>
      <c r="K912" s="141">
        <v>3009</v>
      </c>
      <c r="L912" s="141">
        <v>1</v>
      </c>
      <c r="M912" s="141">
        <v>0</v>
      </c>
      <c r="N912" s="141">
        <v>7000</v>
      </c>
      <c r="O912" s="141" t="s">
        <v>4657</v>
      </c>
      <c r="P912" s="141" t="s">
        <v>4658</v>
      </c>
    </row>
    <row r="913" spans="1:16" ht="25.5">
      <c r="A913" s="141">
        <v>76807</v>
      </c>
      <c r="B913" s="141" t="s">
        <v>4325</v>
      </c>
      <c r="C913" s="142">
        <v>41201</v>
      </c>
      <c r="D913" s="141">
        <v>1165</v>
      </c>
      <c r="E913" s="141" t="str">
        <f t="shared" si="82"/>
        <v>001</v>
      </c>
      <c r="F913" s="141" t="s">
        <v>4326</v>
      </c>
      <c r="G913" s="141" t="str">
        <f t="shared" si="84"/>
        <v>0374</v>
      </c>
      <c r="H913" s="141" t="s">
        <v>2386</v>
      </c>
      <c r="I913" s="141" t="str">
        <f t="shared" si="83"/>
        <v>999</v>
      </c>
      <c r="J913" s="141" t="s">
        <v>4327</v>
      </c>
      <c r="K913" s="141">
        <v>3010</v>
      </c>
      <c r="L913" s="141">
        <v>1</v>
      </c>
      <c r="M913" s="141">
        <v>0</v>
      </c>
      <c r="N913" s="141">
        <v>7000</v>
      </c>
      <c r="O913" s="141" t="s">
        <v>4659</v>
      </c>
      <c r="P913" s="141" t="s">
        <v>4544</v>
      </c>
    </row>
    <row r="914" spans="1:16" ht="25.5">
      <c r="A914" s="141">
        <v>76807</v>
      </c>
      <c r="B914" s="141" t="s">
        <v>4325</v>
      </c>
      <c r="C914" s="142">
        <v>41201</v>
      </c>
      <c r="D914" s="141">
        <v>1165</v>
      </c>
      <c r="E914" s="141" t="str">
        <f t="shared" si="82"/>
        <v>001</v>
      </c>
      <c r="F914" s="141" t="s">
        <v>4326</v>
      </c>
      <c r="G914" s="141" t="str">
        <f t="shared" si="84"/>
        <v>0374</v>
      </c>
      <c r="H914" s="141" t="s">
        <v>2386</v>
      </c>
      <c r="I914" s="141" t="str">
        <f t="shared" si="83"/>
        <v>999</v>
      </c>
      <c r="J914" s="141" t="s">
        <v>4327</v>
      </c>
      <c r="K914" s="141">
        <v>3011</v>
      </c>
      <c r="L914" s="141">
        <v>4</v>
      </c>
      <c r="M914" s="141">
        <v>0</v>
      </c>
      <c r="N914" s="141">
        <v>14000</v>
      </c>
      <c r="O914" s="141" t="s">
        <v>4540</v>
      </c>
      <c r="P914" s="141"/>
    </row>
    <row r="915" spans="1:16" ht="25.5">
      <c r="A915" s="141">
        <v>76807</v>
      </c>
      <c r="B915" s="141" t="s">
        <v>4325</v>
      </c>
      <c r="C915" s="142">
        <v>41201</v>
      </c>
      <c r="D915" s="141">
        <v>1165</v>
      </c>
      <c r="E915" s="141" t="str">
        <f t="shared" si="82"/>
        <v>001</v>
      </c>
      <c r="F915" s="141" t="s">
        <v>4326</v>
      </c>
      <c r="G915" s="141" t="str">
        <f t="shared" si="84"/>
        <v>0374</v>
      </c>
      <c r="H915" s="141" t="s">
        <v>2386</v>
      </c>
      <c r="I915" s="141" t="str">
        <f t="shared" si="83"/>
        <v>999</v>
      </c>
      <c r="J915" s="141" t="s">
        <v>4327</v>
      </c>
      <c r="K915" s="141">
        <v>3012</v>
      </c>
      <c r="L915" s="141">
        <v>12</v>
      </c>
      <c r="M915" s="141">
        <v>0</v>
      </c>
      <c r="N915" s="141">
        <v>9000</v>
      </c>
      <c r="O915" s="141" t="s">
        <v>4343</v>
      </c>
      <c r="P915" s="141"/>
    </row>
    <row r="916" spans="1:16" ht="25.5">
      <c r="A916" s="141">
        <v>76807</v>
      </c>
      <c r="B916" s="141" t="s">
        <v>4325</v>
      </c>
      <c r="C916" s="142">
        <v>41201</v>
      </c>
      <c r="D916" s="141">
        <v>1165</v>
      </c>
      <c r="E916" s="141" t="str">
        <f t="shared" si="82"/>
        <v>001</v>
      </c>
      <c r="F916" s="141" t="s">
        <v>4326</v>
      </c>
      <c r="G916" s="141" t="str">
        <f t="shared" si="84"/>
        <v>0374</v>
      </c>
      <c r="H916" s="141" t="s">
        <v>2386</v>
      </c>
      <c r="I916" s="141" t="str">
        <f t="shared" si="83"/>
        <v>999</v>
      </c>
      <c r="J916" s="141" t="s">
        <v>4327</v>
      </c>
      <c r="K916" s="141">
        <v>3013</v>
      </c>
      <c r="L916" s="141">
        <v>2</v>
      </c>
      <c r="M916" s="141">
        <v>0</v>
      </c>
      <c r="N916" s="141">
        <v>1000</v>
      </c>
      <c r="O916" s="141" t="s">
        <v>4660</v>
      </c>
      <c r="P916" s="141"/>
    </row>
    <row r="917" spans="1:16" ht="25.5">
      <c r="A917" s="141">
        <v>76807</v>
      </c>
      <c r="B917" s="141" t="s">
        <v>4325</v>
      </c>
      <c r="C917" s="142">
        <v>41201</v>
      </c>
      <c r="D917" s="141">
        <v>1165</v>
      </c>
      <c r="E917" s="141" t="str">
        <f t="shared" si="82"/>
        <v>001</v>
      </c>
      <c r="F917" s="141" t="s">
        <v>4326</v>
      </c>
      <c r="G917" s="141" t="str">
        <f t="shared" si="84"/>
        <v>0374</v>
      </c>
      <c r="H917" s="141" t="s">
        <v>2386</v>
      </c>
      <c r="I917" s="141" t="str">
        <f t="shared" si="83"/>
        <v>999</v>
      </c>
      <c r="J917" s="141" t="s">
        <v>4327</v>
      </c>
      <c r="K917" s="141">
        <v>3014</v>
      </c>
      <c r="L917" s="141">
        <v>6</v>
      </c>
      <c r="M917" s="141">
        <v>0</v>
      </c>
      <c r="N917" s="141">
        <v>1000</v>
      </c>
      <c r="O917" s="141" t="s">
        <v>4447</v>
      </c>
      <c r="P917" s="141"/>
    </row>
    <row r="918" spans="1:16" ht="25.5">
      <c r="A918" s="141">
        <v>76807</v>
      </c>
      <c r="B918" s="141" t="s">
        <v>4325</v>
      </c>
      <c r="C918" s="142">
        <v>41201</v>
      </c>
      <c r="D918" s="141">
        <v>1165</v>
      </c>
      <c r="E918" s="141" t="str">
        <f t="shared" si="82"/>
        <v>001</v>
      </c>
      <c r="F918" s="141" t="s">
        <v>4326</v>
      </c>
      <c r="G918" s="141" t="str">
        <f t="shared" si="84"/>
        <v>0374</v>
      </c>
      <c r="H918" s="141" t="s">
        <v>2386</v>
      </c>
      <c r="I918" s="141" t="str">
        <f t="shared" si="83"/>
        <v>999</v>
      </c>
      <c r="J918" s="141" t="s">
        <v>4327</v>
      </c>
      <c r="K918" s="141">
        <v>3015</v>
      </c>
      <c r="L918" s="141">
        <v>1</v>
      </c>
      <c r="M918" s="141">
        <v>0</v>
      </c>
      <c r="N918" s="141">
        <v>3000</v>
      </c>
      <c r="O918" s="141" t="s">
        <v>4405</v>
      </c>
      <c r="P918" s="141" t="s">
        <v>4372</v>
      </c>
    </row>
    <row r="919" spans="1:16" ht="25.5">
      <c r="A919" s="141">
        <v>76807</v>
      </c>
      <c r="B919" s="141" t="s">
        <v>4325</v>
      </c>
      <c r="C919" s="142">
        <v>41201</v>
      </c>
      <c r="D919" s="141">
        <v>1165</v>
      </c>
      <c r="E919" s="141" t="str">
        <f t="shared" si="82"/>
        <v>001</v>
      </c>
      <c r="F919" s="141" t="s">
        <v>4326</v>
      </c>
      <c r="G919" s="141" t="str">
        <f t="shared" si="84"/>
        <v>0374</v>
      </c>
      <c r="H919" s="141" t="s">
        <v>2386</v>
      </c>
      <c r="I919" s="141" t="str">
        <f t="shared" si="83"/>
        <v>999</v>
      </c>
      <c r="J919" s="141" t="s">
        <v>4327</v>
      </c>
      <c r="K919" s="141">
        <v>3016</v>
      </c>
      <c r="L919" s="141">
        <v>1</v>
      </c>
      <c r="M919" s="141">
        <v>0</v>
      </c>
      <c r="N919" s="141">
        <v>3000</v>
      </c>
      <c r="O919" s="141" t="s">
        <v>4405</v>
      </c>
      <c r="P919" s="141" t="s">
        <v>4372</v>
      </c>
    </row>
    <row r="920" spans="1:16" ht="25.5">
      <c r="A920" s="141">
        <v>76807</v>
      </c>
      <c r="B920" s="141" t="s">
        <v>4325</v>
      </c>
      <c r="C920" s="142">
        <v>41201</v>
      </c>
      <c r="D920" s="141">
        <v>1165</v>
      </c>
      <c r="E920" s="141" t="str">
        <f t="shared" si="82"/>
        <v>001</v>
      </c>
      <c r="F920" s="141" t="s">
        <v>4326</v>
      </c>
      <c r="G920" s="141" t="str">
        <f t="shared" si="84"/>
        <v>0374</v>
      </c>
      <c r="H920" s="141" t="s">
        <v>2386</v>
      </c>
      <c r="I920" s="141" t="str">
        <f t="shared" si="83"/>
        <v>999</v>
      </c>
      <c r="J920" s="141" t="s">
        <v>4327</v>
      </c>
      <c r="K920" s="141">
        <v>3017</v>
      </c>
      <c r="L920" s="141">
        <v>1</v>
      </c>
      <c r="M920" s="141">
        <v>0</v>
      </c>
      <c r="N920" s="141">
        <v>3000</v>
      </c>
      <c r="O920" s="141" t="s">
        <v>4405</v>
      </c>
      <c r="P920" s="141" t="s">
        <v>4372</v>
      </c>
    </row>
    <row r="921" spans="1:16" ht="25.5">
      <c r="A921" s="141">
        <v>76807</v>
      </c>
      <c r="B921" s="141" t="s">
        <v>4325</v>
      </c>
      <c r="C921" s="142">
        <v>41201</v>
      </c>
      <c r="D921" s="141">
        <v>1165</v>
      </c>
      <c r="E921" s="141" t="str">
        <f t="shared" si="82"/>
        <v>001</v>
      </c>
      <c r="F921" s="141" t="s">
        <v>4326</v>
      </c>
      <c r="G921" s="141" t="str">
        <f t="shared" si="84"/>
        <v>0374</v>
      </c>
      <c r="H921" s="141" t="s">
        <v>2386</v>
      </c>
      <c r="I921" s="141" t="str">
        <f t="shared" si="83"/>
        <v>999</v>
      </c>
      <c r="J921" s="141" t="s">
        <v>4327</v>
      </c>
      <c r="K921" s="141">
        <v>3018</v>
      </c>
      <c r="L921" s="141">
        <v>1</v>
      </c>
      <c r="M921" s="141">
        <v>0</v>
      </c>
      <c r="N921" s="141">
        <v>3000</v>
      </c>
      <c r="O921" s="141" t="s">
        <v>4405</v>
      </c>
      <c r="P921" s="141" t="s">
        <v>4372</v>
      </c>
    </row>
    <row r="922" spans="1:16" ht="25.5">
      <c r="A922" s="141">
        <v>76807</v>
      </c>
      <c r="B922" s="141" t="s">
        <v>4325</v>
      </c>
      <c r="C922" s="142">
        <v>41201</v>
      </c>
      <c r="D922" s="141">
        <v>1165</v>
      </c>
      <c r="E922" s="141" t="str">
        <f t="shared" si="82"/>
        <v>001</v>
      </c>
      <c r="F922" s="141" t="s">
        <v>4326</v>
      </c>
      <c r="G922" s="141" t="str">
        <f t="shared" si="84"/>
        <v>0374</v>
      </c>
      <c r="H922" s="141" t="s">
        <v>2386</v>
      </c>
      <c r="I922" s="141" t="str">
        <f t="shared" si="83"/>
        <v>999</v>
      </c>
      <c r="J922" s="141" t="s">
        <v>4327</v>
      </c>
      <c r="K922" s="141">
        <v>3019</v>
      </c>
      <c r="L922" s="141">
        <v>1</v>
      </c>
      <c r="M922" s="141">
        <v>0</v>
      </c>
      <c r="N922" s="141">
        <v>3000</v>
      </c>
      <c r="O922" s="141" t="s">
        <v>4405</v>
      </c>
      <c r="P922" s="141" t="s">
        <v>4372</v>
      </c>
    </row>
    <row r="923" spans="1:16" ht="25.5">
      <c r="A923" s="141">
        <v>76807</v>
      </c>
      <c r="B923" s="141" t="s">
        <v>4325</v>
      </c>
      <c r="C923" s="142">
        <v>41201</v>
      </c>
      <c r="D923" s="141">
        <v>1165</v>
      </c>
      <c r="E923" s="141" t="str">
        <f t="shared" si="82"/>
        <v>001</v>
      </c>
      <c r="F923" s="141" t="s">
        <v>4326</v>
      </c>
      <c r="G923" s="141" t="str">
        <f t="shared" si="84"/>
        <v>0374</v>
      </c>
      <c r="H923" s="141" t="s">
        <v>2386</v>
      </c>
      <c r="I923" s="141" t="str">
        <f t="shared" si="83"/>
        <v>999</v>
      </c>
      <c r="J923" s="141" t="s">
        <v>4327</v>
      </c>
      <c r="K923" s="141">
        <v>3020</v>
      </c>
      <c r="L923" s="141">
        <v>1</v>
      </c>
      <c r="M923" s="141">
        <v>0</v>
      </c>
      <c r="N923" s="141">
        <v>3000</v>
      </c>
      <c r="O923" s="141" t="s">
        <v>4405</v>
      </c>
      <c r="P923" s="141" t="s">
        <v>4372</v>
      </c>
    </row>
    <row r="924" spans="1:16" ht="25.5">
      <c r="A924" s="141">
        <v>76807</v>
      </c>
      <c r="B924" s="141" t="s">
        <v>4325</v>
      </c>
      <c r="C924" s="142">
        <v>41201</v>
      </c>
      <c r="D924" s="141">
        <v>1165</v>
      </c>
      <c r="E924" s="141" t="str">
        <f t="shared" si="82"/>
        <v>001</v>
      </c>
      <c r="F924" s="141" t="s">
        <v>4326</v>
      </c>
      <c r="G924" s="141" t="str">
        <f t="shared" si="84"/>
        <v>0374</v>
      </c>
      <c r="H924" s="141" t="s">
        <v>2386</v>
      </c>
      <c r="I924" s="141" t="str">
        <f t="shared" si="83"/>
        <v>999</v>
      </c>
      <c r="J924" s="141" t="s">
        <v>4327</v>
      </c>
      <c r="K924" s="141">
        <v>3021</v>
      </c>
      <c r="L924" s="141">
        <v>1</v>
      </c>
      <c r="M924" s="141">
        <v>0</v>
      </c>
      <c r="N924" s="141">
        <v>3000</v>
      </c>
      <c r="O924" s="141" t="s">
        <v>4405</v>
      </c>
      <c r="P924" s="141" t="s">
        <v>4372</v>
      </c>
    </row>
    <row r="925" spans="1:16" ht="25.5">
      <c r="A925" s="141">
        <v>76807</v>
      </c>
      <c r="B925" s="141" t="s">
        <v>4325</v>
      </c>
      <c r="C925" s="142">
        <v>41201</v>
      </c>
      <c r="D925" s="141">
        <v>1165</v>
      </c>
      <c r="E925" s="141" t="str">
        <f t="shared" si="82"/>
        <v>001</v>
      </c>
      <c r="F925" s="141" t="s">
        <v>4326</v>
      </c>
      <c r="G925" s="141" t="str">
        <f t="shared" si="84"/>
        <v>0374</v>
      </c>
      <c r="H925" s="141" t="s">
        <v>2386</v>
      </c>
      <c r="I925" s="141" t="str">
        <f t="shared" si="83"/>
        <v>999</v>
      </c>
      <c r="J925" s="141" t="s">
        <v>4327</v>
      </c>
      <c r="K925" s="141">
        <v>3022</v>
      </c>
      <c r="L925" s="141">
        <v>1</v>
      </c>
      <c r="M925" s="141">
        <v>0</v>
      </c>
      <c r="N925" s="141">
        <v>3000</v>
      </c>
      <c r="O925" s="141" t="s">
        <v>4405</v>
      </c>
      <c r="P925" s="141" t="s">
        <v>4372</v>
      </c>
    </row>
    <row r="926" spans="1:16" ht="25.5">
      <c r="A926" s="141">
        <v>76807</v>
      </c>
      <c r="B926" s="141" t="s">
        <v>4325</v>
      </c>
      <c r="C926" s="142">
        <v>41201</v>
      </c>
      <c r="D926" s="141">
        <v>1165</v>
      </c>
      <c r="E926" s="141" t="str">
        <f t="shared" si="82"/>
        <v>001</v>
      </c>
      <c r="F926" s="141" t="s">
        <v>4326</v>
      </c>
      <c r="G926" s="141" t="str">
        <f t="shared" si="84"/>
        <v>0374</v>
      </c>
      <c r="H926" s="141" t="s">
        <v>2386</v>
      </c>
      <c r="I926" s="141" t="str">
        <f t="shared" si="83"/>
        <v>999</v>
      </c>
      <c r="J926" s="141" t="s">
        <v>4327</v>
      </c>
      <c r="K926" s="141">
        <v>3030</v>
      </c>
      <c r="L926" s="141">
        <v>8</v>
      </c>
      <c r="M926" s="141">
        <v>0</v>
      </c>
      <c r="N926" s="141">
        <v>50000</v>
      </c>
      <c r="O926" s="141" t="s">
        <v>4500</v>
      </c>
      <c r="P926" s="141"/>
    </row>
    <row r="927" spans="1:16" ht="25.5">
      <c r="A927" s="141">
        <v>76807</v>
      </c>
      <c r="B927" s="141" t="s">
        <v>4325</v>
      </c>
      <c r="C927" s="142">
        <v>41201</v>
      </c>
      <c r="D927" s="141">
        <v>1165</v>
      </c>
      <c r="E927" s="141" t="str">
        <f t="shared" si="82"/>
        <v>001</v>
      </c>
      <c r="F927" s="141" t="s">
        <v>4326</v>
      </c>
      <c r="G927" s="141" t="str">
        <f t="shared" si="84"/>
        <v>0374</v>
      </c>
      <c r="H927" s="141" t="s">
        <v>2386</v>
      </c>
      <c r="I927" s="141" t="str">
        <f t="shared" si="83"/>
        <v>999</v>
      </c>
      <c r="J927" s="141" t="s">
        <v>4327</v>
      </c>
      <c r="K927" s="141">
        <v>3033</v>
      </c>
      <c r="L927" s="141">
        <v>1</v>
      </c>
      <c r="M927" s="141">
        <v>0</v>
      </c>
      <c r="N927" s="141">
        <v>11000</v>
      </c>
      <c r="O927" s="141" t="s">
        <v>4661</v>
      </c>
      <c r="P927" s="141"/>
    </row>
    <row r="928" spans="1:16" ht="25.5">
      <c r="A928" s="141">
        <v>76807</v>
      </c>
      <c r="B928" s="141" t="s">
        <v>4325</v>
      </c>
      <c r="C928" s="142">
        <v>41201</v>
      </c>
      <c r="D928" s="141">
        <v>1165</v>
      </c>
      <c r="E928" s="141" t="str">
        <f t="shared" si="82"/>
        <v>001</v>
      </c>
      <c r="F928" s="141" t="s">
        <v>4326</v>
      </c>
      <c r="G928" s="141" t="str">
        <f t="shared" si="84"/>
        <v>0374</v>
      </c>
      <c r="H928" s="141" t="s">
        <v>2386</v>
      </c>
      <c r="I928" s="141" t="str">
        <f t="shared" si="83"/>
        <v>999</v>
      </c>
      <c r="J928" s="141" t="s">
        <v>4327</v>
      </c>
      <c r="K928" s="141">
        <v>3034</v>
      </c>
      <c r="L928" s="141">
        <v>1</v>
      </c>
      <c r="M928" s="141">
        <v>0</v>
      </c>
      <c r="N928" s="141">
        <v>17000</v>
      </c>
      <c r="O928" s="141" t="s">
        <v>4662</v>
      </c>
      <c r="P928" s="141"/>
    </row>
    <row r="929" spans="1:16" ht="25.5">
      <c r="A929" s="141">
        <v>76807</v>
      </c>
      <c r="B929" s="141" t="s">
        <v>4325</v>
      </c>
      <c r="C929" s="142">
        <v>41201</v>
      </c>
      <c r="D929" s="141">
        <v>352</v>
      </c>
      <c r="E929" s="141" t="str">
        <f t="shared" si="82"/>
        <v>001</v>
      </c>
      <c r="F929" s="141" t="s">
        <v>4326</v>
      </c>
      <c r="G929" s="141" t="str">
        <f t="shared" ref="G929:G951" si="85">"0376"</f>
        <v>0376</v>
      </c>
      <c r="H929" s="141" t="s">
        <v>2534</v>
      </c>
      <c r="I929" s="141" t="str">
        <f t="shared" si="83"/>
        <v>999</v>
      </c>
      <c r="J929" s="141" t="s">
        <v>4327</v>
      </c>
      <c r="K929" s="141">
        <v>628</v>
      </c>
      <c r="L929" s="141">
        <v>1</v>
      </c>
      <c r="M929" s="141">
        <v>0</v>
      </c>
      <c r="N929" s="141">
        <v>39000</v>
      </c>
      <c r="O929" s="141" t="s">
        <v>4328</v>
      </c>
      <c r="P929" s="141" t="s">
        <v>4663</v>
      </c>
    </row>
    <row r="930" spans="1:16" ht="25.5">
      <c r="A930" s="141">
        <v>76807</v>
      </c>
      <c r="B930" s="141" t="s">
        <v>4325</v>
      </c>
      <c r="C930" s="142">
        <v>41201</v>
      </c>
      <c r="D930" s="141">
        <v>352</v>
      </c>
      <c r="E930" s="141" t="str">
        <f t="shared" si="82"/>
        <v>001</v>
      </c>
      <c r="F930" s="141" t="s">
        <v>4326</v>
      </c>
      <c r="G930" s="141" t="str">
        <f t="shared" si="85"/>
        <v>0376</v>
      </c>
      <c r="H930" s="141" t="s">
        <v>2534</v>
      </c>
      <c r="I930" s="141" t="str">
        <f t="shared" si="83"/>
        <v>999</v>
      </c>
      <c r="J930" s="141" t="s">
        <v>4327</v>
      </c>
      <c r="K930" s="141">
        <v>629</v>
      </c>
      <c r="L930" s="141">
        <v>1</v>
      </c>
      <c r="M930" s="141">
        <v>0</v>
      </c>
      <c r="N930" s="141">
        <v>4000</v>
      </c>
      <c r="O930" s="141" t="s">
        <v>4351</v>
      </c>
      <c r="P930" s="141" t="s">
        <v>4572</v>
      </c>
    </row>
    <row r="931" spans="1:16" ht="25.5">
      <c r="A931" s="141">
        <v>76807</v>
      </c>
      <c r="B931" s="141" t="s">
        <v>4325</v>
      </c>
      <c r="C931" s="142">
        <v>41201</v>
      </c>
      <c r="D931" s="141">
        <v>352</v>
      </c>
      <c r="E931" s="141" t="str">
        <f t="shared" si="82"/>
        <v>001</v>
      </c>
      <c r="F931" s="141" t="s">
        <v>4326</v>
      </c>
      <c r="G931" s="141" t="str">
        <f t="shared" si="85"/>
        <v>0376</v>
      </c>
      <c r="H931" s="141" t="s">
        <v>2534</v>
      </c>
      <c r="I931" s="141" t="str">
        <f t="shared" si="83"/>
        <v>999</v>
      </c>
      <c r="J931" s="141" t="s">
        <v>4327</v>
      </c>
      <c r="K931" s="141">
        <v>630</v>
      </c>
      <c r="L931" s="141">
        <v>1</v>
      </c>
      <c r="M931" s="141">
        <v>0</v>
      </c>
      <c r="N931" s="141">
        <v>10000</v>
      </c>
      <c r="O931" s="141" t="s">
        <v>4420</v>
      </c>
      <c r="P931" s="141" t="s">
        <v>4390</v>
      </c>
    </row>
    <row r="932" spans="1:16" ht="25.5">
      <c r="A932" s="141">
        <v>76807</v>
      </c>
      <c r="B932" s="141" t="s">
        <v>4325</v>
      </c>
      <c r="C932" s="142">
        <v>41201</v>
      </c>
      <c r="D932" s="141">
        <v>352</v>
      </c>
      <c r="E932" s="141" t="str">
        <f t="shared" si="82"/>
        <v>001</v>
      </c>
      <c r="F932" s="141" t="s">
        <v>4326</v>
      </c>
      <c r="G932" s="141" t="str">
        <f t="shared" si="85"/>
        <v>0376</v>
      </c>
      <c r="H932" s="141" t="s">
        <v>2534</v>
      </c>
      <c r="I932" s="141" t="str">
        <f t="shared" si="83"/>
        <v>999</v>
      </c>
      <c r="J932" s="141" t="s">
        <v>4327</v>
      </c>
      <c r="K932" s="141">
        <v>631</v>
      </c>
      <c r="L932" s="141">
        <v>2</v>
      </c>
      <c r="M932" s="141">
        <v>0</v>
      </c>
      <c r="N932" s="141">
        <v>8000</v>
      </c>
      <c r="O932" s="141" t="s">
        <v>4357</v>
      </c>
      <c r="P932" s="141" t="s">
        <v>4361</v>
      </c>
    </row>
    <row r="933" spans="1:16" ht="25.5">
      <c r="A933" s="141">
        <v>76807</v>
      </c>
      <c r="B933" s="141" t="s">
        <v>4325</v>
      </c>
      <c r="C933" s="142">
        <v>41201</v>
      </c>
      <c r="D933" s="141">
        <v>352</v>
      </c>
      <c r="E933" s="141" t="str">
        <f t="shared" si="82"/>
        <v>001</v>
      </c>
      <c r="F933" s="141" t="s">
        <v>4326</v>
      </c>
      <c r="G933" s="141" t="str">
        <f t="shared" si="85"/>
        <v>0376</v>
      </c>
      <c r="H933" s="141" t="s">
        <v>2534</v>
      </c>
      <c r="I933" s="141" t="str">
        <f t="shared" si="83"/>
        <v>999</v>
      </c>
      <c r="J933" s="141" t="s">
        <v>4327</v>
      </c>
      <c r="K933" s="141">
        <v>632</v>
      </c>
      <c r="L933" s="141">
        <v>7</v>
      </c>
      <c r="M933" s="141">
        <v>0</v>
      </c>
      <c r="N933" s="141">
        <v>67000</v>
      </c>
      <c r="O933" s="141" t="s">
        <v>4357</v>
      </c>
      <c r="P933" s="141" t="s">
        <v>4608</v>
      </c>
    </row>
    <row r="934" spans="1:16" ht="25.5">
      <c r="A934" s="141">
        <v>76807</v>
      </c>
      <c r="B934" s="141" t="s">
        <v>4325</v>
      </c>
      <c r="C934" s="142">
        <v>41201</v>
      </c>
      <c r="D934" s="141">
        <v>352</v>
      </c>
      <c r="E934" s="141" t="str">
        <f t="shared" si="82"/>
        <v>001</v>
      </c>
      <c r="F934" s="141" t="s">
        <v>4326</v>
      </c>
      <c r="G934" s="141" t="str">
        <f t="shared" si="85"/>
        <v>0376</v>
      </c>
      <c r="H934" s="141" t="s">
        <v>2534</v>
      </c>
      <c r="I934" s="141" t="str">
        <f t="shared" si="83"/>
        <v>999</v>
      </c>
      <c r="J934" s="141" t="s">
        <v>4327</v>
      </c>
      <c r="K934" s="141">
        <v>633</v>
      </c>
      <c r="L934" s="141">
        <v>4</v>
      </c>
      <c r="M934" s="141">
        <v>0</v>
      </c>
      <c r="N934" s="141">
        <v>21000</v>
      </c>
      <c r="O934" s="141" t="s">
        <v>4339</v>
      </c>
      <c r="P934" s="141" t="s">
        <v>4597</v>
      </c>
    </row>
    <row r="935" spans="1:16" ht="25.5">
      <c r="A935" s="141">
        <v>76807</v>
      </c>
      <c r="B935" s="141" t="s">
        <v>4325</v>
      </c>
      <c r="C935" s="142">
        <v>41201</v>
      </c>
      <c r="D935" s="141">
        <v>352</v>
      </c>
      <c r="E935" s="141" t="str">
        <f t="shared" si="82"/>
        <v>001</v>
      </c>
      <c r="F935" s="141" t="s">
        <v>4326</v>
      </c>
      <c r="G935" s="141" t="str">
        <f t="shared" si="85"/>
        <v>0376</v>
      </c>
      <c r="H935" s="141" t="s">
        <v>2534</v>
      </c>
      <c r="I935" s="141" t="str">
        <f t="shared" si="83"/>
        <v>999</v>
      </c>
      <c r="J935" s="141" t="s">
        <v>4327</v>
      </c>
      <c r="K935" s="141">
        <v>634</v>
      </c>
      <c r="L935" s="141">
        <v>4</v>
      </c>
      <c r="M935" s="141">
        <v>0</v>
      </c>
      <c r="N935" s="141">
        <v>13000</v>
      </c>
      <c r="O935" s="141" t="s">
        <v>4339</v>
      </c>
      <c r="P935" s="141" t="s">
        <v>4335</v>
      </c>
    </row>
    <row r="936" spans="1:16" ht="25.5">
      <c r="A936" s="141">
        <v>76807</v>
      </c>
      <c r="B936" s="141" t="s">
        <v>4325</v>
      </c>
      <c r="C936" s="142">
        <v>41201</v>
      </c>
      <c r="D936" s="141">
        <v>352</v>
      </c>
      <c r="E936" s="141" t="str">
        <f t="shared" si="82"/>
        <v>001</v>
      </c>
      <c r="F936" s="141" t="s">
        <v>4326</v>
      </c>
      <c r="G936" s="141" t="str">
        <f t="shared" si="85"/>
        <v>0376</v>
      </c>
      <c r="H936" s="141" t="s">
        <v>2534</v>
      </c>
      <c r="I936" s="141" t="str">
        <f t="shared" si="83"/>
        <v>999</v>
      </c>
      <c r="J936" s="141" t="s">
        <v>4327</v>
      </c>
      <c r="K936" s="141">
        <v>635</v>
      </c>
      <c r="L936" s="141">
        <v>1</v>
      </c>
      <c r="M936" s="141">
        <v>0</v>
      </c>
      <c r="N936" s="141">
        <v>4000</v>
      </c>
      <c r="O936" s="141" t="s">
        <v>4330</v>
      </c>
      <c r="P936" s="141" t="s">
        <v>4348</v>
      </c>
    </row>
    <row r="937" spans="1:16" ht="25.5">
      <c r="A937" s="141">
        <v>76807</v>
      </c>
      <c r="B937" s="141" t="s">
        <v>4325</v>
      </c>
      <c r="C937" s="142">
        <v>41201</v>
      </c>
      <c r="D937" s="141">
        <v>352</v>
      </c>
      <c r="E937" s="141" t="str">
        <f t="shared" si="82"/>
        <v>001</v>
      </c>
      <c r="F937" s="141" t="s">
        <v>4326</v>
      </c>
      <c r="G937" s="141" t="str">
        <f t="shared" si="85"/>
        <v>0376</v>
      </c>
      <c r="H937" s="141" t="s">
        <v>2534</v>
      </c>
      <c r="I937" s="141" t="str">
        <f t="shared" si="83"/>
        <v>999</v>
      </c>
      <c r="J937" s="141" t="s">
        <v>4327</v>
      </c>
      <c r="K937" s="141">
        <v>636</v>
      </c>
      <c r="L937" s="141">
        <v>1</v>
      </c>
      <c r="M937" s="141">
        <v>0</v>
      </c>
      <c r="N937" s="141">
        <v>112000</v>
      </c>
      <c r="O937" s="141" t="s">
        <v>4366</v>
      </c>
      <c r="P937" s="141" t="s">
        <v>4367</v>
      </c>
    </row>
    <row r="938" spans="1:16" ht="25.5">
      <c r="A938" s="141">
        <v>76807</v>
      </c>
      <c r="B938" s="141" t="s">
        <v>4325</v>
      </c>
      <c r="C938" s="142">
        <v>41201</v>
      </c>
      <c r="D938" s="141">
        <v>352</v>
      </c>
      <c r="E938" s="141" t="str">
        <f t="shared" si="82"/>
        <v>001</v>
      </c>
      <c r="F938" s="141" t="s">
        <v>4326</v>
      </c>
      <c r="G938" s="141" t="str">
        <f t="shared" si="85"/>
        <v>0376</v>
      </c>
      <c r="H938" s="141" t="s">
        <v>2534</v>
      </c>
      <c r="I938" s="141" t="str">
        <f t="shared" si="83"/>
        <v>999</v>
      </c>
      <c r="J938" s="141" t="s">
        <v>4327</v>
      </c>
      <c r="K938" s="141">
        <v>637</v>
      </c>
      <c r="L938" s="141">
        <v>1</v>
      </c>
      <c r="M938" s="141">
        <v>0</v>
      </c>
      <c r="N938" s="141">
        <v>12000</v>
      </c>
      <c r="O938" s="141" t="s">
        <v>4353</v>
      </c>
      <c r="P938" s="141" t="s">
        <v>4664</v>
      </c>
    </row>
    <row r="939" spans="1:16" ht="25.5">
      <c r="A939" s="141">
        <v>76807</v>
      </c>
      <c r="B939" s="141" t="s">
        <v>4325</v>
      </c>
      <c r="C939" s="142">
        <v>41201</v>
      </c>
      <c r="D939" s="141">
        <v>352</v>
      </c>
      <c r="E939" s="141" t="str">
        <f t="shared" si="82"/>
        <v>001</v>
      </c>
      <c r="F939" s="141" t="s">
        <v>4326</v>
      </c>
      <c r="G939" s="141" t="str">
        <f t="shared" si="85"/>
        <v>0376</v>
      </c>
      <c r="H939" s="141" t="s">
        <v>2534</v>
      </c>
      <c r="I939" s="141" t="str">
        <f t="shared" si="83"/>
        <v>999</v>
      </c>
      <c r="J939" s="141" t="s">
        <v>4327</v>
      </c>
      <c r="K939" s="141">
        <v>638</v>
      </c>
      <c r="L939" s="141">
        <v>1</v>
      </c>
      <c r="M939" s="141">
        <v>0</v>
      </c>
      <c r="N939" s="141">
        <v>7000</v>
      </c>
      <c r="O939" s="141" t="s">
        <v>4369</v>
      </c>
      <c r="P939" s="141" t="s">
        <v>4370</v>
      </c>
    </row>
    <row r="940" spans="1:16" ht="25.5">
      <c r="A940" s="141">
        <v>76807</v>
      </c>
      <c r="B940" s="141" t="s">
        <v>4325</v>
      </c>
      <c r="C940" s="142">
        <v>41201</v>
      </c>
      <c r="D940" s="141">
        <v>352</v>
      </c>
      <c r="E940" s="141" t="str">
        <f t="shared" si="82"/>
        <v>001</v>
      </c>
      <c r="F940" s="141" t="s">
        <v>4326</v>
      </c>
      <c r="G940" s="141" t="str">
        <f t="shared" si="85"/>
        <v>0376</v>
      </c>
      <c r="H940" s="141" t="s">
        <v>2534</v>
      </c>
      <c r="I940" s="141" t="str">
        <f t="shared" si="83"/>
        <v>999</v>
      </c>
      <c r="J940" s="141" t="s">
        <v>4327</v>
      </c>
      <c r="K940" s="141">
        <v>639</v>
      </c>
      <c r="L940" s="141">
        <v>1</v>
      </c>
      <c r="M940" s="141">
        <v>0</v>
      </c>
      <c r="N940" s="141">
        <v>113000</v>
      </c>
      <c r="O940" s="141" t="s">
        <v>4368</v>
      </c>
      <c r="P940" s="141"/>
    </row>
    <row r="941" spans="1:16" ht="25.5">
      <c r="A941" s="141">
        <v>76807</v>
      </c>
      <c r="B941" s="141" t="s">
        <v>4325</v>
      </c>
      <c r="C941" s="142">
        <v>41201</v>
      </c>
      <c r="D941" s="141">
        <v>352</v>
      </c>
      <c r="E941" s="141" t="str">
        <f t="shared" si="82"/>
        <v>001</v>
      </c>
      <c r="F941" s="141" t="s">
        <v>4326</v>
      </c>
      <c r="G941" s="141" t="str">
        <f t="shared" si="85"/>
        <v>0376</v>
      </c>
      <c r="H941" s="141" t="s">
        <v>2534</v>
      </c>
      <c r="I941" s="141" t="str">
        <f t="shared" si="83"/>
        <v>999</v>
      </c>
      <c r="J941" s="141" t="s">
        <v>4327</v>
      </c>
      <c r="K941" s="141">
        <v>640</v>
      </c>
      <c r="L941" s="141">
        <v>4</v>
      </c>
      <c r="M941" s="141">
        <v>0</v>
      </c>
      <c r="N941" s="141">
        <v>3000</v>
      </c>
      <c r="O941" s="141" t="s">
        <v>4343</v>
      </c>
      <c r="P941" s="141"/>
    </row>
    <row r="942" spans="1:16" ht="25.5">
      <c r="A942" s="141">
        <v>76807</v>
      </c>
      <c r="B942" s="141" t="s">
        <v>4325</v>
      </c>
      <c r="C942" s="142">
        <v>41201</v>
      </c>
      <c r="D942" s="141">
        <v>352</v>
      </c>
      <c r="E942" s="141" t="str">
        <f t="shared" si="82"/>
        <v>001</v>
      </c>
      <c r="F942" s="141" t="s">
        <v>4326</v>
      </c>
      <c r="G942" s="141" t="str">
        <f t="shared" si="85"/>
        <v>0376</v>
      </c>
      <c r="H942" s="141" t="s">
        <v>2534</v>
      </c>
      <c r="I942" s="141" t="str">
        <f t="shared" si="83"/>
        <v>999</v>
      </c>
      <c r="J942" s="141" t="s">
        <v>4327</v>
      </c>
      <c r="K942" s="141">
        <v>641</v>
      </c>
      <c r="L942" s="141">
        <v>2</v>
      </c>
      <c r="M942" s="141">
        <v>0</v>
      </c>
      <c r="N942" s="141">
        <v>2000</v>
      </c>
      <c r="O942" s="141" t="s">
        <v>4536</v>
      </c>
      <c r="P942" s="141"/>
    </row>
    <row r="943" spans="1:16" ht="25.5">
      <c r="A943" s="141">
        <v>76807</v>
      </c>
      <c r="B943" s="141" t="s">
        <v>4325</v>
      </c>
      <c r="C943" s="142">
        <v>41201</v>
      </c>
      <c r="D943" s="141">
        <v>352</v>
      </c>
      <c r="E943" s="141" t="str">
        <f t="shared" si="82"/>
        <v>001</v>
      </c>
      <c r="F943" s="141" t="s">
        <v>4326</v>
      </c>
      <c r="G943" s="141" t="str">
        <f t="shared" si="85"/>
        <v>0376</v>
      </c>
      <c r="H943" s="141" t="s">
        <v>2534</v>
      </c>
      <c r="I943" s="141" t="str">
        <f t="shared" si="83"/>
        <v>999</v>
      </c>
      <c r="J943" s="141" t="s">
        <v>4327</v>
      </c>
      <c r="K943" s="141">
        <v>642</v>
      </c>
      <c r="L943" s="141">
        <v>1</v>
      </c>
      <c r="M943" s="141">
        <v>0</v>
      </c>
      <c r="N943" s="141">
        <v>1000</v>
      </c>
      <c r="O943" s="141" t="s">
        <v>4537</v>
      </c>
      <c r="P943" s="141"/>
    </row>
    <row r="944" spans="1:16" ht="25.5">
      <c r="A944" s="141">
        <v>76807</v>
      </c>
      <c r="B944" s="141" t="s">
        <v>4325</v>
      </c>
      <c r="C944" s="142">
        <v>41201</v>
      </c>
      <c r="D944" s="141">
        <v>352</v>
      </c>
      <c r="E944" s="141" t="str">
        <f t="shared" si="82"/>
        <v>001</v>
      </c>
      <c r="F944" s="141" t="s">
        <v>4326</v>
      </c>
      <c r="G944" s="141" t="str">
        <f t="shared" si="85"/>
        <v>0376</v>
      </c>
      <c r="H944" s="141" t="s">
        <v>2534</v>
      </c>
      <c r="I944" s="141" t="str">
        <f t="shared" si="83"/>
        <v>999</v>
      </c>
      <c r="J944" s="141" t="s">
        <v>4327</v>
      </c>
      <c r="K944" s="141">
        <v>643</v>
      </c>
      <c r="L944" s="141">
        <v>1</v>
      </c>
      <c r="M944" s="141">
        <v>0</v>
      </c>
      <c r="N944" s="141">
        <v>3000</v>
      </c>
      <c r="O944" s="141" t="s">
        <v>4404</v>
      </c>
      <c r="P944" s="141"/>
    </row>
    <row r="945" spans="1:16" ht="25.5">
      <c r="A945" s="141">
        <v>76807</v>
      </c>
      <c r="B945" s="141" t="s">
        <v>4325</v>
      </c>
      <c r="C945" s="142">
        <v>41201</v>
      </c>
      <c r="D945" s="141">
        <v>352</v>
      </c>
      <c r="E945" s="141" t="str">
        <f t="shared" si="82"/>
        <v>001</v>
      </c>
      <c r="F945" s="141" t="s">
        <v>4326</v>
      </c>
      <c r="G945" s="141" t="str">
        <f t="shared" si="85"/>
        <v>0376</v>
      </c>
      <c r="H945" s="141" t="s">
        <v>2534</v>
      </c>
      <c r="I945" s="141" t="str">
        <f t="shared" si="83"/>
        <v>999</v>
      </c>
      <c r="J945" s="141" t="s">
        <v>4327</v>
      </c>
      <c r="K945" s="141">
        <v>644</v>
      </c>
      <c r="L945" s="141">
        <v>4</v>
      </c>
      <c r="M945" s="141">
        <v>0</v>
      </c>
      <c r="N945" s="141">
        <v>10000</v>
      </c>
      <c r="O945" s="141" t="s">
        <v>4347</v>
      </c>
      <c r="P945" s="141"/>
    </row>
    <row r="946" spans="1:16" ht="25.5">
      <c r="A946" s="141">
        <v>76807</v>
      </c>
      <c r="B946" s="141" t="s">
        <v>4325</v>
      </c>
      <c r="C946" s="142">
        <v>41201</v>
      </c>
      <c r="D946" s="141">
        <v>352</v>
      </c>
      <c r="E946" s="141" t="str">
        <f t="shared" si="82"/>
        <v>001</v>
      </c>
      <c r="F946" s="141" t="s">
        <v>4326</v>
      </c>
      <c r="G946" s="141" t="str">
        <f t="shared" si="85"/>
        <v>0376</v>
      </c>
      <c r="H946" s="141" t="s">
        <v>2534</v>
      </c>
      <c r="I946" s="141" t="str">
        <f t="shared" si="83"/>
        <v>999</v>
      </c>
      <c r="J946" s="141" t="s">
        <v>4327</v>
      </c>
      <c r="K946" s="141">
        <v>645</v>
      </c>
      <c r="L946" s="141">
        <v>1</v>
      </c>
      <c r="M946" s="141">
        <v>0</v>
      </c>
      <c r="N946" s="141">
        <v>4000</v>
      </c>
      <c r="O946" s="141" t="s">
        <v>4406</v>
      </c>
      <c r="P946" s="141"/>
    </row>
    <row r="947" spans="1:16" ht="25.5">
      <c r="A947" s="141">
        <v>76807</v>
      </c>
      <c r="B947" s="141" t="s">
        <v>4325</v>
      </c>
      <c r="C947" s="142">
        <v>41201</v>
      </c>
      <c r="D947" s="141">
        <v>352</v>
      </c>
      <c r="E947" s="141" t="str">
        <f t="shared" si="82"/>
        <v>001</v>
      </c>
      <c r="F947" s="141" t="s">
        <v>4326</v>
      </c>
      <c r="G947" s="141" t="str">
        <f t="shared" si="85"/>
        <v>0376</v>
      </c>
      <c r="H947" s="141" t="s">
        <v>2534</v>
      </c>
      <c r="I947" s="141" t="str">
        <f t="shared" si="83"/>
        <v>999</v>
      </c>
      <c r="J947" s="141" t="s">
        <v>4327</v>
      </c>
      <c r="K947" s="141">
        <v>646</v>
      </c>
      <c r="L947" s="141">
        <v>2</v>
      </c>
      <c r="M947" s="141">
        <v>0</v>
      </c>
      <c r="N947" s="141">
        <v>3000</v>
      </c>
      <c r="O947" s="141" t="s">
        <v>4515</v>
      </c>
      <c r="P947" s="141"/>
    </row>
    <row r="948" spans="1:16" ht="25.5">
      <c r="A948" s="141">
        <v>76807</v>
      </c>
      <c r="B948" s="141" t="s">
        <v>4325</v>
      </c>
      <c r="C948" s="142">
        <v>41201</v>
      </c>
      <c r="D948" s="141">
        <v>352</v>
      </c>
      <c r="E948" s="141" t="str">
        <f t="shared" si="82"/>
        <v>001</v>
      </c>
      <c r="F948" s="141" t="s">
        <v>4326</v>
      </c>
      <c r="G948" s="141" t="str">
        <f t="shared" si="85"/>
        <v>0376</v>
      </c>
      <c r="H948" s="141" t="s">
        <v>2534</v>
      </c>
      <c r="I948" s="141" t="str">
        <f t="shared" si="83"/>
        <v>999</v>
      </c>
      <c r="J948" s="141" t="s">
        <v>4327</v>
      </c>
      <c r="K948" s="141">
        <v>647</v>
      </c>
      <c r="L948" s="141">
        <v>1</v>
      </c>
      <c r="M948" s="141">
        <v>0</v>
      </c>
      <c r="N948" s="141">
        <v>3000</v>
      </c>
      <c r="O948" s="141" t="s">
        <v>4405</v>
      </c>
      <c r="P948" s="141" t="s">
        <v>4372</v>
      </c>
    </row>
    <row r="949" spans="1:16" ht="25.5">
      <c r="A949" s="141">
        <v>76807</v>
      </c>
      <c r="B949" s="141" t="s">
        <v>4325</v>
      </c>
      <c r="C949" s="142">
        <v>41201</v>
      </c>
      <c r="D949" s="141">
        <v>352</v>
      </c>
      <c r="E949" s="141" t="str">
        <f t="shared" si="82"/>
        <v>001</v>
      </c>
      <c r="F949" s="141" t="s">
        <v>4326</v>
      </c>
      <c r="G949" s="141" t="str">
        <f t="shared" si="85"/>
        <v>0376</v>
      </c>
      <c r="H949" s="141" t="s">
        <v>2534</v>
      </c>
      <c r="I949" s="141" t="str">
        <f t="shared" si="83"/>
        <v>999</v>
      </c>
      <c r="J949" s="141" t="s">
        <v>4327</v>
      </c>
      <c r="K949" s="141">
        <v>648</v>
      </c>
      <c r="L949" s="141">
        <v>1</v>
      </c>
      <c r="M949" s="141">
        <v>0</v>
      </c>
      <c r="N949" s="141">
        <v>3000</v>
      </c>
      <c r="O949" s="141" t="s">
        <v>4405</v>
      </c>
      <c r="P949" s="141" t="s">
        <v>4372</v>
      </c>
    </row>
    <row r="950" spans="1:16" ht="25.5">
      <c r="A950" s="141">
        <v>76807</v>
      </c>
      <c r="B950" s="141" t="s">
        <v>4325</v>
      </c>
      <c r="C950" s="142">
        <v>41201</v>
      </c>
      <c r="D950" s="141">
        <v>352</v>
      </c>
      <c r="E950" s="141" t="str">
        <f t="shared" si="82"/>
        <v>001</v>
      </c>
      <c r="F950" s="141" t="s">
        <v>4326</v>
      </c>
      <c r="G950" s="141" t="str">
        <f t="shared" si="85"/>
        <v>0376</v>
      </c>
      <c r="H950" s="141" t="s">
        <v>2534</v>
      </c>
      <c r="I950" s="141" t="str">
        <f t="shared" si="83"/>
        <v>999</v>
      </c>
      <c r="J950" s="141" t="s">
        <v>4327</v>
      </c>
      <c r="K950" s="141">
        <v>649</v>
      </c>
      <c r="L950" s="141">
        <v>1</v>
      </c>
      <c r="M950" s="141">
        <v>0</v>
      </c>
      <c r="N950" s="141">
        <v>3000</v>
      </c>
      <c r="O950" s="141" t="s">
        <v>4405</v>
      </c>
      <c r="P950" s="141" t="s">
        <v>4372</v>
      </c>
    </row>
    <row r="951" spans="1:16" ht="25.5">
      <c r="A951" s="141">
        <v>76807</v>
      </c>
      <c r="B951" s="141" t="s">
        <v>4325</v>
      </c>
      <c r="C951" s="142">
        <v>41201</v>
      </c>
      <c r="D951" s="141">
        <v>352</v>
      </c>
      <c r="E951" s="141" t="str">
        <f t="shared" si="82"/>
        <v>001</v>
      </c>
      <c r="F951" s="141" t="s">
        <v>4326</v>
      </c>
      <c r="G951" s="141" t="str">
        <f t="shared" si="85"/>
        <v>0376</v>
      </c>
      <c r="H951" s="141" t="s">
        <v>2534</v>
      </c>
      <c r="I951" s="141" t="str">
        <f t="shared" si="83"/>
        <v>999</v>
      </c>
      <c r="J951" s="141" t="s">
        <v>4327</v>
      </c>
      <c r="K951" s="141">
        <v>650</v>
      </c>
      <c r="L951" s="141">
        <v>1</v>
      </c>
      <c r="M951" s="141">
        <v>0</v>
      </c>
      <c r="N951" s="141">
        <v>3000</v>
      </c>
      <c r="O951" s="141" t="s">
        <v>4405</v>
      </c>
      <c r="P951" s="141" t="s">
        <v>4372</v>
      </c>
    </row>
    <row r="952" spans="1:16" ht="25.5">
      <c r="A952" s="141">
        <v>76807</v>
      </c>
      <c r="B952" s="141" t="s">
        <v>4325</v>
      </c>
      <c r="C952" s="142">
        <v>41201</v>
      </c>
      <c r="D952" s="141">
        <v>468</v>
      </c>
      <c r="E952" s="141" t="str">
        <f t="shared" si="82"/>
        <v>001</v>
      </c>
      <c r="F952" s="141" t="s">
        <v>4326</v>
      </c>
      <c r="G952" s="141" t="str">
        <f>"0379"</f>
        <v>0379</v>
      </c>
      <c r="H952" s="141" t="s">
        <v>1640</v>
      </c>
      <c r="I952" s="141" t="str">
        <f t="shared" si="83"/>
        <v>999</v>
      </c>
      <c r="J952" s="141" t="s">
        <v>4327</v>
      </c>
      <c r="K952" s="141">
        <v>987</v>
      </c>
      <c r="L952" s="141">
        <v>1</v>
      </c>
      <c r="M952" s="141">
        <v>0</v>
      </c>
      <c r="N952" s="141">
        <v>39000</v>
      </c>
      <c r="O952" s="141" t="s">
        <v>4337</v>
      </c>
      <c r="P952" s="141" t="s">
        <v>4478</v>
      </c>
    </row>
    <row r="953" spans="1:16" ht="25.5">
      <c r="A953" s="141">
        <v>76807</v>
      </c>
      <c r="B953" s="141" t="s">
        <v>4325</v>
      </c>
      <c r="C953" s="142">
        <v>41201</v>
      </c>
      <c r="D953" s="141">
        <v>468</v>
      </c>
      <c r="E953" s="141" t="str">
        <f t="shared" si="82"/>
        <v>001</v>
      </c>
      <c r="F953" s="141" t="s">
        <v>4326</v>
      </c>
      <c r="G953" s="141" t="str">
        <f>"0379"</f>
        <v>0379</v>
      </c>
      <c r="H953" s="141" t="s">
        <v>1640</v>
      </c>
      <c r="I953" s="141" t="str">
        <f t="shared" si="83"/>
        <v>999</v>
      </c>
      <c r="J953" s="141" t="s">
        <v>4327</v>
      </c>
      <c r="K953" s="141">
        <v>988</v>
      </c>
      <c r="L953" s="141">
        <v>4</v>
      </c>
      <c r="M953" s="141">
        <v>0</v>
      </c>
      <c r="N953" s="141">
        <v>18000</v>
      </c>
      <c r="O953" s="141" t="s">
        <v>4406</v>
      </c>
      <c r="P953" s="141"/>
    </row>
    <row r="954" spans="1:16" ht="25.5">
      <c r="A954" s="141">
        <v>76807</v>
      </c>
      <c r="B954" s="141" t="s">
        <v>4325</v>
      </c>
      <c r="C954" s="142">
        <v>41201</v>
      </c>
      <c r="D954" s="141">
        <v>468</v>
      </c>
      <c r="E954" s="141" t="str">
        <f t="shared" si="82"/>
        <v>001</v>
      </c>
      <c r="F954" s="141" t="s">
        <v>4326</v>
      </c>
      <c r="G954" s="141" t="str">
        <f>"0379"</f>
        <v>0379</v>
      </c>
      <c r="H954" s="141" t="s">
        <v>1640</v>
      </c>
      <c r="I954" s="141" t="str">
        <f t="shared" si="83"/>
        <v>999</v>
      </c>
      <c r="J954" s="141" t="s">
        <v>4327</v>
      </c>
      <c r="K954" s="141">
        <v>989</v>
      </c>
      <c r="L954" s="141">
        <v>4</v>
      </c>
      <c r="M954" s="141">
        <v>0</v>
      </c>
      <c r="N954" s="141">
        <v>22000</v>
      </c>
      <c r="O954" s="141" t="s">
        <v>4540</v>
      </c>
      <c r="P954" s="141"/>
    </row>
    <row r="955" spans="1:16" ht="25.5">
      <c r="A955" s="141">
        <v>76807</v>
      </c>
      <c r="B955" s="141" t="s">
        <v>4325</v>
      </c>
      <c r="C955" s="142">
        <v>41201</v>
      </c>
      <c r="D955" s="141">
        <v>468</v>
      </c>
      <c r="E955" s="141" t="str">
        <f t="shared" si="82"/>
        <v>001</v>
      </c>
      <c r="F955" s="141" t="s">
        <v>4326</v>
      </c>
      <c r="G955" s="141" t="str">
        <f>"0379"</f>
        <v>0379</v>
      </c>
      <c r="H955" s="141" t="s">
        <v>1640</v>
      </c>
      <c r="I955" s="141" t="str">
        <f t="shared" si="83"/>
        <v>999</v>
      </c>
      <c r="J955" s="141" t="s">
        <v>4327</v>
      </c>
      <c r="K955" s="141">
        <v>990</v>
      </c>
      <c r="L955" s="141">
        <v>22</v>
      </c>
      <c r="M955" s="141">
        <v>0</v>
      </c>
      <c r="N955" s="141">
        <v>302000</v>
      </c>
      <c r="O955" s="141" t="s">
        <v>4334</v>
      </c>
      <c r="P955" s="141" t="s">
        <v>4476</v>
      </c>
    </row>
    <row r="956" spans="1:16" ht="25.5">
      <c r="A956" s="141">
        <v>76807</v>
      </c>
      <c r="B956" s="141" t="s">
        <v>4325</v>
      </c>
      <c r="C956" s="142">
        <v>41201</v>
      </c>
      <c r="D956" s="141">
        <v>442</v>
      </c>
      <c r="E956" s="141" t="str">
        <f t="shared" si="82"/>
        <v>001</v>
      </c>
      <c r="F956" s="141" t="s">
        <v>4326</v>
      </c>
      <c r="G956" s="141" t="str">
        <f>"0381"</f>
        <v>0381</v>
      </c>
      <c r="H956" s="141" t="s">
        <v>1641</v>
      </c>
      <c r="I956" s="141" t="str">
        <f t="shared" si="83"/>
        <v>999</v>
      </c>
      <c r="J956" s="141" t="s">
        <v>4327</v>
      </c>
      <c r="K956" s="141">
        <v>1303</v>
      </c>
      <c r="L956" s="141">
        <v>1</v>
      </c>
      <c r="M956" s="141">
        <v>0</v>
      </c>
      <c r="N956" s="141">
        <v>112000</v>
      </c>
      <c r="O956" s="141" t="s">
        <v>4366</v>
      </c>
      <c r="P956" s="141" t="s">
        <v>4367</v>
      </c>
    </row>
    <row r="957" spans="1:16" ht="25.5">
      <c r="A957" s="141">
        <v>76807</v>
      </c>
      <c r="B957" s="141" t="s">
        <v>4325</v>
      </c>
      <c r="C957" s="142">
        <v>41201</v>
      </c>
      <c r="D957" s="141">
        <v>442</v>
      </c>
      <c r="E957" s="141" t="str">
        <f t="shared" si="82"/>
        <v>001</v>
      </c>
      <c r="F957" s="141" t="s">
        <v>4326</v>
      </c>
      <c r="G957" s="141" t="str">
        <f>"0381"</f>
        <v>0381</v>
      </c>
      <c r="H957" s="141" t="s">
        <v>1641</v>
      </c>
      <c r="I957" s="141" t="str">
        <f t="shared" si="83"/>
        <v>999</v>
      </c>
      <c r="J957" s="141" t="s">
        <v>4327</v>
      </c>
      <c r="K957" s="141">
        <v>1304</v>
      </c>
      <c r="L957" s="141">
        <v>12</v>
      </c>
      <c r="M957" s="141">
        <v>0</v>
      </c>
      <c r="N957" s="141">
        <v>139000</v>
      </c>
      <c r="O957" s="141" t="s">
        <v>4357</v>
      </c>
      <c r="P957" s="141" t="s">
        <v>4417</v>
      </c>
    </row>
    <row r="958" spans="1:16" ht="25.5">
      <c r="A958" s="141">
        <v>76807</v>
      </c>
      <c r="B958" s="141" t="s">
        <v>4325</v>
      </c>
      <c r="C958" s="142">
        <v>41201</v>
      </c>
      <c r="D958" s="141">
        <v>442</v>
      </c>
      <c r="E958" s="141" t="str">
        <f t="shared" si="82"/>
        <v>001</v>
      </c>
      <c r="F958" s="141" t="s">
        <v>4326</v>
      </c>
      <c r="G958" s="141" t="str">
        <f>"0381"</f>
        <v>0381</v>
      </c>
      <c r="H958" s="141" t="s">
        <v>1641</v>
      </c>
      <c r="I958" s="141" t="str">
        <f t="shared" si="83"/>
        <v>999</v>
      </c>
      <c r="J958" s="141" t="s">
        <v>4327</v>
      </c>
      <c r="K958" s="141">
        <v>1305</v>
      </c>
      <c r="L958" s="141">
        <v>3</v>
      </c>
      <c r="M958" s="141">
        <v>0</v>
      </c>
      <c r="N958" s="141">
        <v>19000</v>
      </c>
      <c r="O958" s="141" t="s">
        <v>4407</v>
      </c>
      <c r="P958" s="141"/>
    </row>
    <row r="959" spans="1:16" ht="25.5">
      <c r="A959" s="141">
        <v>76807</v>
      </c>
      <c r="B959" s="141" t="s">
        <v>4325</v>
      </c>
      <c r="C959" s="142">
        <v>41201</v>
      </c>
      <c r="D959" s="141">
        <v>442</v>
      </c>
      <c r="E959" s="141" t="str">
        <f t="shared" si="82"/>
        <v>001</v>
      </c>
      <c r="F959" s="141" t="s">
        <v>4326</v>
      </c>
      <c r="G959" s="141" t="str">
        <f>"0381"</f>
        <v>0381</v>
      </c>
      <c r="H959" s="141" t="s">
        <v>1641</v>
      </c>
      <c r="I959" s="141" t="str">
        <f t="shared" si="83"/>
        <v>999</v>
      </c>
      <c r="J959" s="141" t="s">
        <v>4327</v>
      </c>
      <c r="K959" s="141">
        <v>1306</v>
      </c>
      <c r="L959" s="141">
        <v>1</v>
      </c>
      <c r="M959" s="141">
        <v>0</v>
      </c>
      <c r="N959" s="141">
        <v>9000</v>
      </c>
      <c r="O959" s="141" t="s">
        <v>4353</v>
      </c>
      <c r="P959" s="141" t="s">
        <v>4665</v>
      </c>
    </row>
    <row r="960" spans="1:16" ht="25.5">
      <c r="A960" s="141">
        <v>76807</v>
      </c>
      <c r="B960" s="141" t="s">
        <v>4325</v>
      </c>
      <c r="C960" s="142">
        <v>41201</v>
      </c>
      <c r="D960" s="141">
        <v>337</v>
      </c>
      <c r="E960" s="141" t="str">
        <f t="shared" si="82"/>
        <v>001</v>
      </c>
      <c r="F960" s="141" t="s">
        <v>4326</v>
      </c>
      <c r="G960" s="141" t="str">
        <f t="shared" ref="G960:G972" si="86">"0383"</f>
        <v>0383</v>
      </c>
      <c r="H960" s="141" t="s">
        <v>4666</v>
      </c>
      <c r="I960" s="141" t="str">
        <f t="shared" si="83"/>
        <v>999</v>
      </c>
      <c r="J960" s="141" t="s">
        <v>4327</v>
      </c>
      <c r="K960" s="141">
        <v>485</v>
      </c>
      <c r="L960" s="141">
        <v>1</v>
      </c>
      <c r="M960" s="141">
        <v>0</v>
      </c>
      <c r="N960" s="141">
        <v>11000</v>
      </c>
      <c r="O960" s="141" t="s">
        <v>4364</v>
      </c>
      <c r="P960" s="141" t="s">
        <v>4617</v>
      </c>
    </row>
    <row r="961" spans="1:16" ht="25.5">
      <c r="A961" s="141">
        <v>76807</v>
      </c>
      <c r="B961" s="141" t="s">
        <v>4325</v>
      </c>
      <c r="C961" s="142">
        <v>41201</v>
      </c>
      <c r="D961" s="141">
        <v>337</v>
      </c>
      <c r="E961" s="141" t="str">
        <f t="shared" si="82"/>
        <v>001</v>
      </c>
      <c r="F961" s="141" t="s">
        <v>4326</v>
      </c>
      <c r="G961" s="141" t="str">
        <f t="shared" si="86"/>
        <v>0383</v>
      </c>
      <c r="H961" s="141" t="s">
        <v>4666</v>
      </c>
      <c r="I961" s="141" t="str">
        <f t="shared" si="83"/>
        <v>999</v>
      </c>
      <c r="J961" s="141" t="s">
        <v>4327</v>
      </c>
      <c r="K961" s="141">
        <v>486</v>
      </c>
      <c r="L961" s="141">
        <v>1</v>
      </c>
      <c r="M961" s="141">
        <v>0</v>
      </c>
      <c r="N961" s="141">
        <v>20000</v>
      </c>
      <c r="O961" s="141" t="s">
        <v>4353</v>
      </c>
      <c r="P961" s="141" t="s">
        <v>4667</v>
      </c>
    </row>
    <row r="962" spans="1:16" ht="25.5">
      <c r="A962" s="141">
        <v>76807</v>
      </c>
      <c r="B962" s="141" t="s">
        <v>4325</v>
      </c>
      <c r="C962" s="142">
        <v>41201</v>
      </c>
      <c r="D962" s="141">
        <v>337</v>
      </c>
      <c r="E962" s="141" t="str">
        <f t="shared" ref="E962:E1025" si="87">"001"</f>
        <v>001</v>
      </c>
      <c r="F962" s="141" t="s">
        <v>4326</v>
      </c>
      <c r="G962" s="141" t="str">
        <f t="shared" si="86"/>
        <v>0383</v>
      </c>
      <c r="H962" s="141" t="s">
        <v>4666</v>
      </c>
      <c r="I962" s="141" t="str">
        <f t="shared" ref="I962:I1025" si="88">"999"</f>
        <v>999</v>
      </c>
      <c r="J962" s="141" t="s">
        <v>4327</v>
      </c>
      <c r="K962" s="141">
        <v>487</v>
      </c>
      <c r="L962" s="141">
        <v>12</v>
      </c>
      <c r="M962" s="141">
        <v>0</v>
      </c>
      <c r="N962" s="141">
        <v>29000</v>
      </c>
      <c r="O962" s="141" t="s">
        <v>4339</v>
      </c>
      <c r="P962" s="141" t="s">
        <v>4340</v>
      </c>
    </row>
    <row r="963" spans="1:16" ht="25.5">
      <c r="A963" s="141">
        <v>76807</v>
      </c>
      <c r="B963" s="141" t="s">
        <v>4325</v>
      </c>
      <c r="C963" s="142">
        <v>41201</v>
      </c>
      <c r="D963" s="141">
        <v>337</v>
      </c>
      <c r="E963" s="141" t="str">
        <f t="shared" si="87"/>
        <v>001</v>
      </c>
      <c r="F963" s="141" t="s">
        <v>4326</v>
      </c>
      <c r="G963" s="141" t="str">
        <f t="shared" si="86"/>
        <v>0383</v>
      </c>
      <c r="H963" s="141" t="s">
        <v>4666</v>
      </c>
      <c r="I963" s="141" t="str">
        <f t="shared" si="88"/>
        <v>999</v>
      </c>
      <c r="J963" s="141" t="s">
        <v>4327</v>
      </c>
      <c r="K963" s="141">
        <v>488</v>
      </c>
      <c r="L963" s="141">
        <v>1</v>
      </c>
      <c r="M963" s="141">
        <v>0</v>
      </c>
      <c r="N963" s="141">
        <v>7000</v>
      </c>
      <c r="O963" s="141" t="s">
        <v>4337</v>
      </c>
      <c r="P963" s="141" t="s">
        <v>4329</v>
      </c>
    </row>
    <row r="964" spans="1:16" ht="25.5">
      <c r="A964" s="141">
        <v>76807</v>
      </c>
      <c r="B964" s="141" t="s">
        <v>4325</v>
      </c>
      <c r="C964" s="142">
        <v>41201</v>
      </c>
      <c r="D964" s="141">
        <v>337</v>
      </c>
      <c r="E964" s="141" t="str">
        <f t="shared" si="87"/>
        <v>001</v>
      </c>
      <c r="F964" s="141" t="s">
        <v>4326</v>
      </c>
      <c r="G964" s="141" t="str">
        <f t="shared" si="86"/>
        <v>0383</v>
      </c>
      <c r="H964" s="141" t="s">
        <v>4666</v>
      </c>
      <c r="I964" s="141" t="str">
        <f t="shared" si="88"/>
        <v>999</v>
      </c>
      <c r="J964" s="141" t="s">
        <v>4327</v>
      </c>
      <c r="K964" s="141">
        <v>489</v>
      </c>
      <c r="L964" s="141">
        <v>1</v>
      </c>
      <c r="M964" s="141">
        <v>0</v>
      </c>
      <c r="N964" s="141">
        <v>33000</v>
      </c>
      <c r="O964" s="141" t="s">
        <v>4368</v>
      </c>
      <c r="P964" s="141"/>
    </row>
    <row r="965" spans="1:16" ht="25.5">
      <c r="A965" s="141">
        <v>76807</v>
      </c>
      <c r="B965" s="141" t="s">
        <v>4325</v>
      </c>
      <c r="C965" s="142">
        <v>41201</v>
      </c>
      <c r="D965" s="141">
        <v>337</v>
      </c>
      <c r="E965" s="141" t="str">
        <f t="shared" si="87"/>
        <v>001</v>
      </c>
      <c r="F965" s="141" t="s">
        <v>4326</v>
      </c>
      <c r="G965" s="141" t="str">
        <f t="shared" si="86"/>
        <v>0383</v>
      </c>
      <c r="H965" s="141" t="s">
        <v>4666</v>
      </c>
      <c r="I965" s="141" t="str">
        <f t="shared" si="88"/>
        <v>999</v>
      </c>
      <c r="J965" s="141" t="s">
        <v>4327</v>
      </c>
      <c r="K965" s="141">
        <v>490</v>
      </c>
      <c r="L965" s="141">
        <v>1</v>
      </c>
      <c r="M965" s="141">
        <v>0</v>
      </c>
      <c r="N965" s="141">
        <v>5000</v>
      </c>
      <c r="O965" s="141" t="s">
        <v>4369</v>
      </c>
      <c r="P965" s="141" t="s">
        <v>4602</v>
      </c>
    </row>
    <row r="966" spans="1:16" ht="25.5">
      <c r="A966" s="141">
        <v>76807</v>
      </c>
      <c r="B966" s="141" t="s">
        <v>4325</v>
      </c>
      <c r="C966" s="142">
        <v>41201</v>
      </c>
      <c r="D966" s="141">
        <v>337</v>
      </c>
      <c r="E966" s="141" t="str">
        <f t="shared" si="87"/>
        <v>001</v>
      </c>
      <c r="F966" s="141" t="s">
        <v>4326</v>
      </c>
      <c r="G966" s="141" t="str">
        <f t="shared" si="86"/>
        <v>0383</v>
      </c>
      <c r="H966" s="141" t="s">
        <v>4666</v>
      </c>
      <c r="I966" s="141" t="str">
        <f t="shared" si="88"/>
        <v>999</v>
      </c>
      <c r="J966" s="141" t="s">
        <v>4327</v>
      </c>
      <c r="K966" s="141">
        <v>491</v>
      </c>
      <c r="L966" s="141">
        <v>1</v>
      </c>
      <c r="M966" s="141">
        <v>0</v>
      </c>
      <c r="N966" s="141">
        <v>3000</v>
      </c>
      <c r="O966" s="141" t="s">
        <v>4405</v>
      </c>
      <c r="P966" s="141" t="s">
        <v>4372</v>
      </c>
    </row>
    <row r="967" spans="1:16" ht="25.5">
      <c r="A967" s="141">
        <v>76807</v>
      </c>
      <c r="B967" s="141" t="s">
        <v>4325</v>
      </c>
      <c r="C967" s="142">
        <v>41201</v>
      </c>
      <c r="D967" s="141">
        <v>337</v>
      </c>
      <c r="E967" s="141" t="str">
        <f t="shared" si="87"/>
        <v>001</v>
      </c>
      <c r="F967" s="141" t="s">
        <v>4326</v>
      </c>
      <c r="G967" s="141" t="str">
        <f t="shared" si="86"/>
        <v>0383</v>
      </c>
      <c r="H967" s="141" t="s">
        <v>4666</v>
      </c>
      <c r="I967" s="141" t="str">
        <f t="shared" si="88"/>
        <v>999</v>
      </c>
      <c r="J967" s="141" t="s">
        <v>4327</v>
      </c>
      <c r="K967" s="141">
        <v>492</v>
      </c>
      <c r="L967" s="141">
        <v>3</v>
      </c>
      <c r="M967" s="141">
        <v>0</v>
      </c>
      <c r="N967" s="141">
        <v>7000</v>
      </c>
      <c r="O967" s="141" t="s">
        <v>4347</v>
      </c>
      <c r="P967" s="141"/>
    </row>
    <row r="968" spans="1:16" ht="25.5">
      <c r="A968" s="141">
        <v>76807</v>
      </c>
      <c r="B968" s="141" t="s">
        <v>4325</v>
      </c>
      <c r="C968" s="142">
        <v>41201</v>
      </c>
      <c r="D968" s="141">
        <v>337</v>
      </c>
      <c r="E968" s="141" t="str">
        <f t="shared" si="87"/>
        <v>001</v>
      </c>
      <c r="F968" s="141" t="s">
        <v>4326</v>
      </c>
      <c r="G968" s="141" t="str">
        <f t="shared" si="86"/>
        <v>0383</v>
      </c>
      <c r="H968" s="141" t="s">
        <v>4666</v>
      </c>
      <c r="I968" s="141" t="str">
        <f t="shared" si="88"/>
        <v>999</v>
      </c>
      <c r="J968" s="141" t="s">
        <v>4327</v>
      </c>
      <c r="K968" s="141">
        <v>493</v>
      </c>
      <c r="L968" s="141">
        <v>1</v>
      </c>
      <c r="M968" s="141">
        <v>0</v>
      </c>
      <c r="N968" s="141">
        <v>4000</v>
      </c>
      <c r="O968" s="141" t="s">
        <v>4406</v>
      </c>
      <c r="P968" s="141"/>
    </row>
    <row r="969" spans="1:16" ht="25.5">
      <c r="A969" s="141">
        <v>76807</v>
      </c>
      <c r="B969" s="141" t="s">
        <v>4325</v>
      </c>
      <c r="C969" s="142">
        <v>41201</v>
      </c>
      <c r="D969" s="141">
        <v>337</v>
      </c>
      <c r="E969" s="141" t="str">
        <f t="shared" si="87"/>
        <v>001</v>
      </c>
      <c r="F969" s="141" t="s">
        <v>4326</v>
      </c>
      <c r="G969" s="141" t="str">
        <f t="shared" si="86"/>
        <v>0383</v>
      </c>
      <c r="H969" s="141" t="s">
        <v>4666</v>
      </c>
      <c r="I969" s="141" t="str">
        <f t="shared" si="88"/>
        <v>999</v>
      </c>
      <c r="J969" s="141" t="s">
        <v>4327</v>
      </c>
      <c r="K969" s="141">
        <v>494</v>
      </c>
      <c r="L969" s="141">
        <v>2</v>
      </c>
      <c r="M969" s="141">
        <v>0</v>
      </c>
      <c r="N969" s="141">
        <v>4000</v>
      </c>
      <c r="O969" s="141" t="s">
        <v>4345</v>
      </c>
      <c r="P969" s="141"/>
    </row>
    <row r="970" spans="1:16" ht="25.5">
      <c r="A970" s="141">
        <v>76807</v>
      </c>
      <c r="B970" s="141" t="s">
        <v>4325</v>
      </c>
      <c r="C970" s="142">
        <v>41201</v>
      </c>
      <c r="D970" s="141">
        <v>337</v>
      </c>
      <c r="E970" s="141" t="str">
        <f t="shared" si="87"/>
        <v>001</v>
      </c>
      <c r="F970" s="141" t="s">
        <v>4326</v>
      </c>
      <c r="G970" s="141" t="str">
        <f t="shared" si="86"/>
        <v>0383</v>
      </c>
      <c r="H970" s="141" t="s">
        <v>4666</v>
      </c>
      <c r="I970" s="141" t="str">
        <f t="shared" si="88"/>
        <v>999</v>
      </c>
      <c r="J970" s="141" t="s">
        <v>4327</v>
      </c>
      <c r="K970" s="141">
        <v>495</v>
      </c>
      <c r="L970" s="141">
        <v>2</v>
      </c>
      <c r="M970" s="141">
        <v>0</v>
      </c>
      <c r="N970" s="141">
        <v>1000</v>
      </c>
      <c r="O970" s="141" t="s">
        <v>4343</v>
      </c>
      <c r="P970" s="141"/>
    </row>
    <row r="971" spans="1:16" ht="25.5">
      <c r="A971" s="141">
        <v>76807</v>
      </c>
      <c r="B971" s="141" t="s">
        <v>4325</v>
      </c>
      <c r="C971" s="142">
        <v>41201</v>
      </c>
      <c r="D971" s="141">
        <v>337</v>
      </c>
      <c r="E971" s="141" t="str">
        <f t="shared" si="87"/>
        <v>001</v>
      </c>
      <c r="F971" s="141" t="s">
        <v>4326</v>
      </c>
      <c r="G971" s="141" t="str">
        <f t="shared" si="86"/>
        <v>0383</v>
      </c>
      <c r="H971" s="141" t="s">
        <v>4666</v>
      </c>
      <c r="I971" s="141" t="str">
        <f t="shared" si="88"/>
        <v>999</v>
      </c>
      <c r="J971" s="141" t="s">
        <v>4327</v>
      </c>
      <c r="K971" s="141">
        <v>496</v>
      </c>
      <c r="L971" s="141">
        <v>10</v>
      </c>
      <c r="M971" s="141">
        <v>0</v>
      </c>
      <c r="N971" s="141">
        <v>6000</v>
      </c>
      <c r="O971" s="141" t="s">
        <v>4350</v>
      </c>
      <c r="P971" s="141"/>
    </row>
    <row r="972" spans="1:16" ht="25.5">
      <c r="A972" s="141">
        <v>76807</v>
      </c>
      <c r="B972" s="141" t="s">
        <v>4325</v>
      </c>
      <c r="C972" s="142">
        <v>41201</v>
      </c>
      <c r="D972" s="141">
        <v>337</v>
      </c>
      <c r="E972" s="141" t="str">
        <f t="shared" si="87"/>
        <v>001</v>
      </c>
      <c r="F972" s="141" t="s">
        <v>4326</v>
      </c>
      <c r="G972" s="141" t="str">
        <f t="shared" si="86"/>
        <v>0383</v>
      </c>
      <c r="H972" s="141" t="s">
        <v>4666</v>
      </c>
      <c r="I972" s="141" t="str">
        <f t="shared" si="88"/>
        <v>999</v>
      </c>
      <c r="J972" s="141" t="s">
        <v>4327</v>
      </c>
      <c r="K972" s="141">
        <v>497</v>
      </c>
      <c r="L972" s="141">
        <v>1</v>
      </c>
      <c r="M972" s="141">
        <v>0</v>
      </c>
      <c r="N972" s="141">
        <v>2000</v>
      </c>
      <c r="O972" s="141" t="s">
        <v>4592</v>
      </c>
      <c r="P972" s="141"/>
    </row>
    <row r="973" spans="1:16" ht="25.5">
      <c r="A973" s="141">
        <v>76807</v>
      </c>
      <c r="B973" s="141" t="s">
        <v>4325</v>
      </c>
      <c r="C973" s="142">
        <v>41201</v>
      </c>
      <c r="D973" s="141">
        <v>447</v>
      </c>
      <c r="E973" s="141" t="str">
        <f t="shared" si="87"/>
        <v>001</v>
      </c>
      <c r="F973" s="141" t="s">
        <v>4326</v>
      </c>
      <c r="G973" s="141" t="str">
        <f>"0384"</f>
        <v>0384</v>
      </c>
      <c r="H973" s="141" t="s">
        <v>1642</v>
      </c>
      <c r="I973" s="141" t="str">
        <f t="shared" si="88"/>
        <v>999</v>
      </c>
      <c r="J973" s="141" t="s">
        <v>4327</v>
      </c>
      <c r="K973" s="141">
        <v>1325</v>
      </c>
      <c r="L973" s="141">
        <v>1</v>
      </c>
      <c r="M973" s="141">
        <v>0</v>
      </c>
      <c r="N973" s="141">
        <v>7000</v>
      </c>
      <c r="O973" s="141" t="s">
        <v>4337</v>
      </c>
      <c r="P973" s="141" t="s">
        <v>4668</v>
      </c>
    </row>
    <row r="974" spans="1:16" ht="25.5">
      <c r="A974" s="141">
        <v>76807</v>
      </c>
      <c r="B974" s="141" t="s">
        <v>4325</v>
      </c>
      <c r="C974" s="142">
        <v>41201</v>
      </c>
      <c r="D974" s="141">
        <v>447</v>
      </c>
      <c r="E974" s="141" t="str">
        <f t="shared" si="87"/>
        <v>001</v>
      </c>
      <c r="F974" s="141" t="s">
        <v>4326</v>
      </c>
      <c r="G974" s="141" t="str">
        <f>"0384"</f>
        <v>0384</v>
      </c>
      <c r="H974" s="141" t="s">
        <v>1642</v>
      </c>
      <c r="I974" s="141" t="str">
        <f t="shared" si="88"/>
        <v>999</v>
      </c>
      <c r="J974" s="141" t="s">
        <v>4327</v>
      </c>
      <c r="K974" s="141">
        <v>1326</v>
      </c>
      <c r="L974" s="141">
        <v>10</v>
      </c>
      <c r="M974" s="141">
        <v>0</v>
      </c>
      <c r="N974" s="141">
        <v>49000</v>
      </c>
      <c r="O974" s="141" t="s">
        <v>4357</v>
      </c>
      <c r="P974" s="141" t="s">
        <v>4362</v>
      </c>
    </row>
    <row r="975" spans="1:16" ht="25.5">
      <c r="A975" s="141">
        <v>76807</v>
      </c>
      <c r="B975" s="141" t="s">
        <v>4325</v>
      </c>
      <c r="C975" s="142">
        <v>41201</v>
      </c>
      <c r="D975" s="141">
        <v>361</v>
      </c>
      <c r="E975" s="141" t="str">
        <f t="shared" si="87"/>
        <v>001</v>
      </c>
      <c r="F975" s="141" t="s">
        <v>4326</v>
      </c>
      <c r="G975" s="141" t="str">
        <f t="shared" ref="G975:G999" si="89">"0385"</f>
        <v>0385</v>
      </c>
      <c r="H975" s="141" t="s">
        <v>3798</v>
      </c>
      <c r="I975" s="141" t="str">
        <f t="shared" si="88"/>
        <v>999</v>
      </c>
      <c r="J975" s="141" t="s">
        <v>4327</v>
      </c>
      <c r="K975" s="141">
        <v>724</v>
      </c>
      <c r="L975" s="141">
        <v>1</v>
      </c>
      <c r="M975" s="141">
        <v>0</v>
      </c>
      <c r="N975" s="141">
        <v>112000</v>
      </c>
      <c r="O975" s="141" t="s">
        <v>4366</v>
      </c>
      <c r="P975" s="141" t="s">
        <v>4367</v>
      </c>
    </row>
    <row r="976" spans="1:16" ht="25.5">
      <c r="A976" s="141">
        <v>76807</v>
      </c>
      <c r="B976" s="141" t="s">
        <v>4325</v>
      </c>
      <c r="C976" s="142">
        <v>41201</v>
      </c>
      <c r="D976" s="141">
        <v>361</v>
      </c>
      <c r="E976" s="141" t="str">
        <f t="shared" si="87"/>
        <v>001</v>
      </c>
      <c r="F976" s="141" t="s">
        <v>4326</v>
      </c>
      <c r="G976" s="141" t="str">
        <f t="shared" si="89"/>
        <v>0385</v>
      </c>
      <c r="H976" s="141" t="s">
        <v>3798</v>
      </c>
      <c r="I976" s="141" t="str">
        <f t="shared" si="88"/>
        <v>999</v>
      </c>
      <c r="J976" s="141" t="s">
        <v>4327</v>
      </c>
      <c r="K976" s="141">
        <v>725</v>
      </c>
      <c r="L976" s="141">
        <v>1</v>
      </c>
      <c r="M976" s="141">
        <v>0</v>
      </c>
      <c r="N976" s="141">
        <v>21000</v>
      </c>
      <c r="O976" s="141" t="s">
        <v>4341</v>
      </c>
      <c r="P976" s="141" t="s">
        <v>4669</v>
      </c>
    </row>
    <row r="977" spans="1:16" ht="25.5">
      <c r="A977" s="141">
        <v>76807</v>
      </c>
      <c r="B977" s="141" t="s">
        <v>4325</v>
      </c>
      <c r="C977" s="142">
        <v>41201</v>
      </c>
      <c r="D977" s="141">
        <v>361</v>
      </c>
      <c r="E977" s="141" t="str">
        <f t="shared" si="87"/>
        <v>001</v>
      </c>
      <c r="F977" s="141" t="s">
        <v>4326</v>
      </c>
      <c r="G977" s="141" t="str">
        <f t="shared" si="89"/>
        <v>0385</v>
      </c>
      <c r="H977" s="141" t="s">
        <v>3798</v>
      </c>
      <c r="I977" s="141" t="str">
        <f t="shared" si="88"/>
        <v>999</v>
      </c>
      <c r="J977" s="141" t="s">
        <v>4327</v>
      </c>
      <c r="K977" s="141">
        <v>726</v>
      </c>
      <c r="L977" s="141">
        <v>1</v>
      </c>
      <c r="M977" s="141">
        <v>0</v>
      </c>
      <c r="N977" s="141">
        <v>6000</v>
      </c>
      <c r="O977" s="141" t="s">
        <v>4351</v>
      </c>
      <c r="P977" s="141" t="s">
        <v>4423</v>
      </c>
    </row>
    <row r="978" spans="1:16" ht="25.5">
      <c r="A978" s="141">
        <v>76807</v>
      </c>
      <c r="B978" s="141" t="s">
        <v>4325</v>
      </c>
      <c r="C978" s="142">
        <v>41201</v>
      </c>
      <c r="D978" s="141">
        <v>361</v>
      </c>
      <c r="E978" s="141" t="str">
        <f t="shared" si="87"/>
        <v>001</v>
      </c>
      <c r="F978" s="141" t="s">
        <v>4326</v>
      </c>
      <c r="G978" s="141" t="str">
        <f t="shared" si="89"/>
        <v>0385</v>
      </c>
      <c r="H978" s="141" t="s">
        <v>3798</v>
      </c>
      <c r="I978" s="141" t="str">
        <f t="shared" si="88"/>
        <v>999</v>
      </c>
      <c r="J978" s="141" t="s">
        <v>4327</v>
      </c>
      <c r="K978" s="141">
        <v>727</v>
      </c>
      <c r="L978" s="141">
        <v>1</v>
      </c>
      <c r="M978" s="141">
        <v>0</v>
      </c>
      <c r="N978" s="141">
        <v>24000</v>
      </c>
      <c r="O978" s="141" t="s">
        <v>4670</v>
      </c>
      <c r="P978" s="141"/>
    </row>
    <row r="979" spans="1:16" ht="25.5">
      <c r="A979" s="141">
        <v>76807</v>
      </c>
      <c r="B979" s="141" t="s">
        <v>4325</v>
      </c>
      <c r="C979" s="142">
        <v>41201</v>
      </c>
      <c r="D979" s="141">
        <v>361</v>
      </c>
      <c r="E979" s="141" t="str">
        <f t="shared" si="87"/>
        <v>001</v>
      </c>
      <c r="F979" s="141" t="s">
        <v>4326</v>
      </c>
      <c r="G979" s="141" t="str">
        <f t="shared" si="89"/>
        <v>0385</v>
      </c>
      <c r="H979" s="141" t="s">
        <v>3798</v>
      </c>
      <c r="I979" s="141" t="str">
        <f t="shared" si="88"/>
        <v>999</v>
      </c>
      <c r="J979" s="141" t="s">
        <v>4327</v>
      </c>
      <c r="K979" s="141">
        <v>728</v>
      </c>
      <c r="L979" s="141">
        <v>1</v>
      </c>
      <c r="M979" s="141">
        <v>0</v>
      </c>
      <c r="N979" s="141">
        <v>15000</v>
      </c>
      <c r="O979" s="141" t="s">
        <v>4671</v>
      </c>
      <c r="P979" s="141"/>
    </row>
    <row r="980" spans="1:16" ht="25.5">
      <c r="A980" s="141">
        <v>76807</v>
      </c>
      <c r="B980" s="141" t="s">
        <v>4325</v>
      </c>
      <c r="C980" s="142">
        <v>41201</v>
      </c>
      <c r="D980" s="141">
        <v>361</v>
      </c>
      <c r="E980" s="141" t="str">
        <f t="shared" si="87"/>
        <v>001</v>
      </c>
      <c r="F980" s="141" t="s">
        <v>4326</v>
      </c>
      <c r="G980" s="141" t="str">
        <f t="shared" si="89"/>
        <v>0385</v>
      </c>
      <c r="H980" s="141" t="s">
        <v>3798</v>
      </c>
      <c r="I980" s="141" t="str">
        <f t="shared" si="88"/>
        <v>999</v>
      </c>
      <c r="J980" s="141" t="s">
        <v>4327</v>
      </c>
      <c r="K980" s="141">
        <v>729</v>
      </c>
      <c r="L980" s="141">
        <v>1</v>
      </c>
      <c r="M980" s="141">
        <v>0</v>
      </c>
      <c r="N980" s="141">
        <v>8000</v>
      </c>
      <c r="O980" s="141" t="s">
        <v>4511</v>
      </c>
      <c r="P980" s="141"/>
    </row>
    <row r="981" spans="1:16" ht="25.5">
      <c r="A981" s="141">
        <v>76807</v>
      </c>
      <c r="B981" s="141" t="s">
        <v>4325</v>
      </c>
      <c r="C981" s="142">
        <v>41201</v>
      </c>
      <c r="D981" s="141">
        <v>361</v>
      </c>
      <c r="E981" s="141" t="str">
        <f t="shared" si="87"/>
        <v>001</v>
      </c>
      <c r="F981" s="141" t="s">
        <v>4326</v>
      </c>
      <c r="G981" s="141" t="str">
        <f t="shared" si="89"/>
        <v>0385</v>
      </c>
      <c r="H981" s="141" t="s">
        <v>3798</v>
      </c>
      <c r="I981" s="141" t="str">
        <f t="shared" si="88"/>
        <v>999</v>
      </c>
      <c r="J981" s="141" t="s">
        <v>4327</v>
      </c>
      <c r="K981" s="141">
        <v>730</v>
      </c>
      <c r="L981" s="141">
        <v>1</v>
      </c>
      <c r="M981" s="141">
        <v>0</v>
      </c>
      <c r="N981" s="141">
        <v>3000</v>
      </c>
      <c r="O981" s="141" t="s">
        <v>4364</v>
      </c>
      <c r="P981" s="141" t="s">
        <v>4672</v>
      </c>
    </row>
    <row r="982" spans="1:16" ht="25.5">
      <c r="A982" s="141">
        <v>76807</v>
      </c>
      <c r="B982" s="141" t="s">
        <v>4325</v>
      </c>
      <c r="C982" s="142">
        <v>41201</v>
      </c>
      <c r="D982" s="141">
        <v>361</v>
      </c>
      <c r="E982" s="141" t="str">
        <f t="shared" si="87"/>
        <v>001</v>
      </c>
      <c r="F982" s="141" t="s">
        <v>4326</v>
      </c>
      <c r="G982" s="141" t="str">
        <f t="shared" si="89"/>
        <v>0385</v>
      </c>
      <c r="H982" s="141" t="s">
        <v>3798</v>
      </c>
      <c r="I982" s="141" t="str">
        <f t="shared" si="88"/>
        <v>999</v>
      </c>
      <c r="J982" s="141" t="s">
        <v>4327</v>
      </c>
      <c r="K982" s="141">
        <v>731</v>
      </c>
      <c r="L982" s="141">
        <v>10</v>
      </c>
      <c r="M982" s="141">
        <v>0</v>
      </c>
      <c r="N982" s="141">
        <v>31000</v>
      </c>
      <c r="O982" s="141" t="s">
        <v>4339</v>
      </c>
      <c r="P982" s="141" t="s">
        <v>4335</v>
      </c>
    </row>
    <row r="983" spans="1:16" ht="25.5">
      <c r="A983" s="141">
        <v>76807</v>
      </c>
      <c r="B983" s="141" t="s">
        <v>4325</v>
      </c>
      <c r="C983" s="142">
        <v>41201</v>
      </c>
      <c r="D983" s="141">
        <v>361</v>
      </c>
      <c r="E983" s="141" t="str">
        <f t="shared" si="87"/>
        <v>001</v>
      </c>
      <c r="F983" s="141" t="s">
        <v>4326</v>
      </c>
      <c r="G983" s="141" t="str">
        <f t="shared" si="89"/>
        <v>0385</v>
      </c>
      <c r="H983" s="141" t="s">
        <v>3798</v>
      </c>
      <c r="I983" s="141" t="str">
        <f t="shared" si="88"/>
        <v>999</v>
      </c>
      <c r="J983" s="141" t="s">
        <v>4327</v>
      </c>
      <c r="K983" s="141">
        <v>732</v>
      </c>
      <c r="L983" s="141">
        <v>4</v>
      </c>
      <c r="M983" s="141">
        <v>0</v>
      </c>
      <c r="N983" s="141">
        <v>14000</v>
      </c>
      <c r="O983" s="141" t="s">
        <v>4357</v>
      </c>
      <c r="P983" s="141" t="s">
        <v>4335</v>
      </c>
    </row>
    <row r="984" spans="1:16" ht="25.5">
      <c r="A984" s="141">
        <v>76807</v>
      </c>
      <c r="B984" s="141" t="s">
        <v>4325</v>
      </c>
      <c r="C984" s="142">
        <v>41201</v>
      </c>
      <c r="D984" s="141">
        <v>361</v>
      </c>
      <c r="E984" s="141" t="str">
        <f t="shared" si="87"/>
        <v>001</v>
      </c>
      <c r="F984" s="141" t="s">
        <v>4326</v>
      </c>
      <c r="G984" s="141" t="str">
        <f t="shared" si="89"/>
        <v>0385</v>
      </c>
      <c r="H984" s="141" t="s">
        <v>3798</v>
      </c>
      <c r="I984" s="141" t="str">
        <f t="shared" si="88"/>
        <v>999</v>
      </c>
      <c r="J984" s="141" t="s">
        <v>4327</v>
      </c>
      <c r="K984" s="141">
        <v>733</v>
      </c>
      <c r="L984" s="141">
        <v>1</v>
      </c>
      <c r="M984" s="141">
        <v>0</v>
      </c>
      <c r="N984" s="141">
        <v>8000</v>
      </c>
      <c r="O984" s="141" t="s">
        <v>4357</v>
      </c>
      <c r="P984" s="141" t="s">
        <v>4561</v>
      </c>
    </row>
    <row r="985" spans="1:16" ht="25.5">
      <c r="A985" s="141">
        <v>76807</v>
      </c>
      <c r="B985" s="141" t="s">
        <v>4325</v>
      </c>
      <c r="C985" s="142">
        <v>41201</v>
      </c>
      <c r="D985" s="141">
        <v>361</v>
      </c>
      <c r="E985" s="141" t="str">
        <f t="shared" si="87"/>
        <v>001</v>
      </c>
      <c r="F985" s="141" t="s">
        <v>4326</v>
      </c>
      <c r="G985" s="141" t="str">
        <f t="shared" si="89"/>
        <v>0385</v>
      </c>
      <c r="H985" s="141" t="s">
        <v>3798</v>
      </c>
      <c r="I985" s="141" t="str">
        <f t="shared" si="88"/>
        <v>999</v>
      </c>
      <c r="J985" s="141" t="s">
        <v>4327</v>
      </c>
      <c r="K985" s="141">
        <v>734</v>
      </c>
      <c r="L985" s="141">
        <v>2</v>
      </c>
      <c r="M985" s="141">
        <v>0</v>
      </c>
      <c r="N985" s="141">
        <v>21000</v>
      </c>
      <c r="O985" s="141" t="s">
        <v>4357</v>
      </c>
      <c r="P985" s="141" t="s">
        <v>4359</v>
      </c>
    </row>
    <row r="986" spans="1:16" ht="25.5">
      <c r="A986" s="141">
        <v>76807</v>
      </c>
      <c r="B986" s="141" t="s">
        <v>4325</v>
      </c>
      <c r="C986" s="142">
        <v>41201</v>
      </c>
      <c r="D986" s="141">
        <v>361</v>
      </c>
      <c r="E986" s="141" t="str">
        <f t="shared" si="87"/>
        <v>001</v>
      </c>
      <c r="F986" s="141" t="s">
        <v>4326</v>
      </c>
      <c r="G986" s="141" t="str">
        <f t="shared" si="89"/>
        <v>0385</v>
      </c>
      <c r="H986" s="141" t="s">
        <v>3798</v>
      </c>
      <c r="I986" s="141" t="str">
        <f t="shared" si="88"/>
        <v>999</v>
      </c>
      <c r="J986" s="141" t="s">
        <v>4327</v>
      </c>
      <c r="K986" s="141">
        <v>735</v>
      </c>
      <c r="L986" s="141">
        <v>2</v>
      </c>
      <c r="M986" s="141">
        <v>0</v>
      </c>
      <c r="N986" s="141">
        <v>26000</v>
      </c>
      <c r="O986" s="141" t="s">
        <v>4357</v>
      </c>
      <c r="P986" s="141" t="s">
        <v>4412</v>
      </c>
    </row>
    <row r="987" spans="1:16" ht="25.5">
      <c r="A987" s="141">
        <v>76807</v>
      </c>
      <c r="B987" s="141" t="s">
        <v>4325</v>
      </c>
      <c r="C987" s="142">
        <v>41201</v>
      </c>
      <c r="D987" s="141">
        <v>361</v>
      </c>
      <c r="E987" s="141" t="str">
        <f t="shared" si="87"/>
        <v>001</v>
      </c>
      <c r="F987" s="141" t="s">
        <v>4326</v>
      </c>
      <c r="G987" s="141" t="str">
        <f t="shared" si="89"/>
        <v>0385</v>
      </c>
      <c r="H987" s="141" t="s">
        <v>3798</v>
      </c>
      <c r="I987" s="141" t="str">
        <f t="shared" si="88"/>
        <v>999</v>
      </c>
      <c r="J987" s="141" t="s">
        <v>4327</v>
      </c>
      <c r="K987" s="141">
        <v>736</v>
      </c>
      <c r="L987" s="141">
        <v>1</v>
      </c>
      <c r="M987" s="141">
        <v>0</v>
      </c>
      <c r="N987" s="141">
        <v>120000</v>
      </c>
      <c r="O987" s="141" t="s">
        <v>4368</v>
      </c>
      <c r="P987" s="141"/>
    </row>
    <row r="988" spans="1:16" ht="25.5">
      <c r="A988" s="141">
        <v>76807</v>
      </c>
      <c r="B988" s="141" t="s">
        <v>4325</v>
      </c>
      <c r="C988" s="142">
        <v>41201</v>
      </c>
      <c r="D988" s="141">
        <v>361</v>
      </c>
      <c r="E988" s="141" t="str">
        <f t="shared" si="87"/>
        <v>001</v>
      </c>
      <c r="F988" s="141" t="s">
        <v>4326</v>
      </c>
      <c r="G988" s="141" t="str">
        <f t="shared" si="89"/>
        <v>0385</v>
      </c>
      <c r="H988" s="141" t="s">
        <v>3798</v>
      </c>
      <c r="I988" s="141" t="str">
        <f t="shared" si="88"/>
        <v>999</v>
      </c>
      <c r="J988" s="141" t="s">
        <v>4327</v>
      </c>
      <c r="K988" s="141">
        <v>737</v>
      </c>
      <c r="L988" s="141">
        <v>1</v>
      </c>
      <c r="M988" s="141">
        <v>0</v>
      </c>
      <c r="N988" s="141">
        <v>2000</v>
      </c>
      <c r="O988" s="141" t="s">
        <v>4484</v>
      </c>
      <c r="P988" s="141"/>
    </row>
    <row r="989" spans="1:16" ht="25.5">
      <c r="A989" s="141">
        <v>76807</v>
      </c>
      <c r="B989" s="141" t="s">
        <v>4325</v>
      </c>
      <c r="C989" s="142">
        <v>41201</v>
      </c>
      <c r="D989" s="141">
        <v>361</v>
      </c>
      <c r="E989" s="141" t="str">
        <f t="shared" si="87"/>
        <v>001</v>
      </c>
      <c r="F989" s="141" t="s">
        <v>4326</v>
      </c>
      <c r="G989" s="141" t="str">
        <f t="shared" si="89"/>
        <v>0385</v>
      </c>
      <c r="H989" s="141" t="s">
        <v>3798</v>
      </c>
      <c r="I989" s="141" t="str">
        <f t="shared" si="88"/>
        <v>999</v>
      </c>
      <c r="J989" s="141" t="s">
        <v>4327</v>
      </c>
      <c r="K989" s="141">
        <v>738</v>
      </c>
      <c r="L989" s="141">
        <v>1</v>
      </c>
      <c r="M989" s="141">
        <v>0</v>
      </c>
      <c r="N989" s="141">
        <v>3000</v>
      </c>
      <c r="O989" s="141" t="s">
        <v>4405</v>
      </c>
      <c r="P989" s="141" t="s">
        <v>4372</v>
      </c>
    </row>
    <row r="990" spans="1:16" ht="25.5">
      <c r="A990" s="141">
        <v>76807</v>
      </c>
      <c r="B990" s="141" t="s">
        <v>4325</v>
      </c>
      <c r="C990" s="142">
        <v>41201</v>
      </c>
      <c r="D990" s="141">
        <v>361</v>
      </c>
      <c r="E990" s="141" t="str">
        <f t="shared" si="87"/>
        <v>001</v>
      </c>
      <c r="F990" s="141" t="s">
        <v>4326</v>
      </c>
      <c r="G990" s="141" t="str">
        <f t="shared" si="89"/>
        <v>0385</v>
      </c>
      <c r="H990" s="141" t="s">
        <v>3798</v>
      </c>
      <c r="I990" s="141" t="str">
        <f t="shared" si="88"/>
        <v>999</v>
      </c>
      <c r="J990" s="141" t="s">
        <v>4327</v>
      </c>
      <c r="K990" s="141">
        <v>739</v>
      </c>
      <c r="L990" s="141">
        <v>1</v>
      </c>
      <c r="M990" s="141">
        <v>0</v>
      </c>
      <c r="N990" s="141">
        <v>3000</v>
      </c>
      <c r="O990" s="141" t="s">
        <v>4405</v>
      </c>
      <c r="P990" s="141" t="s">
        <v>4372</v>
      </c>
    </row>
    <row r="991" spans="1:16" ht="25.5">
      <c r="A991" s="141">
        <v>76807</v>
      </c>
      <c r="B991" s="141" t="s">
        <v>4325</v>
      </c>
      <c r="C991" s="142">
        <v>41201</v>
      </c>
      <c r="D991" s="141">
        <v>361</v>
      </c>
      <c r="E991" s="141" t="str">
        <f t="shared" si="87"/>
        <v>001</v>
      </c>
      <c r="F991" s="141" t="s">
        <v>4326</v>
      </c>
      <c r="G991" s="141" t="str">
        <f t="shared" si="89"/>
        <v>0385</v>
      </c>
      <c r="H991" s="141" t="s">
        <v>3798</v>
      </c>
      <c r="I991" s="141" t="str">
        <f t="shared" si="88"/>
        <v>999</v>
      </c>
      <c r="J991" s="141" t="s">
        <v>4327</v>
      </c>
      <c r="K991" s="141">
        <v>740</v>
      </c>
      <c r="L991" s="141">
        <v>1</v>
      </c>
      <c r="M991" s="141">
        <v>0</v>
      </c>
      <c r="N991" s="141">
        <v>3000</v>
      </c>
      <c r="O991" s="141" t="s">
        <v>4405</v>
      </c>
      <c r="P991" s="141" t="s">
        <v>4372</v>
      </c>
    </row>
    <row r="992" spans="1:16" ht="25.5">
      <c r="A992" s="141">
        <v>76807</v>
      </c>
      <c r="B992" s="141" t="s">
        <v>4325</v>
      </c>
      <c r="C992" s="142">
        <v>41201</v>
      </c>
      <c r="D992" s="141">
        <v>361</v>
      </c>
      <c r="E992" s="141" t="str">
        <f t="shared" si="87"/>
        <v>001</v>
      </c>
      <c r="F992" s="141" t="s">
        <v>4326</v>
      </c>
      <c r="G992" s="141" t="str">
        <f t="shared" si="89"/>
        <v>0385</v>
      </c>
      <c r="H992" s="141" t="s">
        <v>3798</v>
      </c>
      <c r="I992" s="141" t="str">
        <f t="shared" si="88"/>
        <v>999</v>
      </c>
      <c r="J992" s="141" t="s">
        <v>4327</v>
      </c>
      <c r="K992" s="141">
        <v>741</v>
      </c>
      <c r="L992" s="141">
        <v>1</v>
      </c>
      <c r="M992" s="141">
        <v>0</v>
      </c>
      <c r="N992" s="141">
        <v>3000</v>
      </c>
      <c r="O992" s="141" t="s">
        <v>4405</v>
      </c>
      <c r="P992" s="141" t="s">
        <v>4372</v>
      </c>
    </row>
    <row r="993" spans="1:16" ht="25.5">
      <c r="A993" s="141">
        <v>76807</v>
      </c>
      <c r="B993" s="141" t="s">
        <v>4325</v>
      </c>
      <c r="C993" s="142">
        <v>41201</v>
      </c>
      <c r="D993" s="141">
        <v>361</v>
      </c>
      <c r="E993" s="141" t="str">
        <f t="shared" si="87"/>
        <v>001</v>
      </c>
      <c r="F993" s="141" t="s">
        <v>4326</v>
      </c>
      <c r="G993" s="141" t="str">
        <f t="shared" si="89"/>
        <v>0385</v>
      </c>
      <c r="H993" s="141" t="s">
        <v>3798</v>
      </c>
      <c r="I993" s="141" t="str">
        <f t="shared" si="88"/>
        <v>999</v>
      </c>
      <c r="J993" s="141" t="s">
        <v>4327</v>
      </c>
      <c r="K993" s="141">
        <v>742</v>
      </c>
      <c r="L993" s="141">
        <v>1</v>
      </c>
      <c r="M993" s="141">
        <v>0</v>
      </c>
      <c r="N993" s="141">
        <v>2000</v>
      </c>
      <c r="O993" s="141" t="s">
        <v>4345</v>
      </c>
      <c r="P993" s="141"/>
    </row>
    <row r="994" spans="1:16" ht="25.5">
      <c r="A994" s="141">
        <v>76807</v>
      </c>
      <c r="B994" s="141" t="s">
        <v>4325</v>
      </c>
      <c r="C994" s="142">
        <v>41201</v>
      </c>
      <c r="D994" s="141">
        <v>361</v>
      </c>
      <c r="E994" s="141" t="str">
        <f t="shared" si="87"/>
        <v>001</v>
      </c>
      <c r="F994" s="141" t="s">
        <v>4326</v>
      </c>
      <c r="G994" s="141" t="str">
        <f t="shared" si="89"/>
        <v>0385</v>
      </c>
      <c r="H994" s="141" t="s">
        <v>3798</v>
      </c>
      <c r="I994" s="141" t="str">
        <f t="shared" si="88"/>
        <v>999</v>
      </c>
      <c r="J994" s="141" t="s">
        <v>4327</v>
      </c>
      <c r="K994" s="141">
        <v>743</v>
      </c>
      <c r="L994" s="141">
        <v>2</v>
      </c>
      <c r="M994" s="141">
        <v>0</v>
      </c>
      <c r="N994" s="141">
        <v>1000</v>
      </c>
      <c r="O994" s="141" t="s">
        <v>4343</v>
      </c>
      <c r="P994" s="141"/>
    </row>
    <row r="995" spans="1:16" ht="25.5">
      <c r="A995" s="141">
        <v>76807</v>
      </c>
      <c r="B995" s="141" t="s">
        <v>4325</v>
      </c>
      <c r="C995" s="142">
        <v>41201</v>
      </c>
      <c r="D995" s="141">
        <v>361</v>
      </c>
      <c r="E995" s="141" t="str">
        <f t="shared" si="87"/>
        <v>001</v>
      </c>
      <c r="F995" s="141" t="s">
        <v>4326</v>
      </c>
      <c r="G995" s="141" t="str">
        <f t="shared" si="89"/>
        <v>0385</v>
      </c>
      <c r="H995" s="141" t="s">
        <v>3798</v>
      </c>
      <c r="I995" s="141" t="str">
        <f t="shared" si="88"/>
        <v>999</v>
      </c>
      <c r="J995" s="141" t="s">
        <v>4327</v>
      </c>
      <c r="K995" s="141">
        <v>744</v>
      </c>
      <c r="L995" s="141">
        <v>2</v>
      </c>
      <c r="M995" s="141">
        <v>0</v>
      </c>
      <c r="N995" s="141">
        <v>1000</v>
      </c>
      <c r="O995" s="141" t="s">
        <v>4350</v>
      </c>
      <c r="P995" s="141"/>
    </row>
    <row r="996" spans="1:16" ht="25.5">
      <c r="A996" s="141">
        <v>76807</v>
      </c>
      <c r="B996" s="141" t="s">
        <v>4325</v>
      </c>
      <c r="C996" s="142">
        <v>41201</v>
      </c>
      <c r="D996" s="141">
        <v>361</v>
      </c>
      <c r="E996" s="141" t="str">
        <f t="shared" si="87"/>
        <v>001</v>
      </c>
      <c r="F996" s="141" t="s">
        <v>4326</v>
      </c>
      <c r="G996" s="141" t="str">
        <f t="shared" si="89"/>
        <v>0385</v>
      </c>
      <c r="H996" s="141" t="s">
        <v>3798</v>
      </c>
      <c r="I996" s="141" t="str">
        <f t="shared" si="88"/>
        <v>999</v>
      </c>
      <c r="J996" s="141" t="s">
        <v>4327</v>
      </c>
      <c r="K996" s="141">
        <v>745</v>
      </c>
      <c r="L996" s="141">
        <v>2</v>
      </c>
      <c r="M996" s="141">
        <v>0</v>
      </c>
      <c r="N996" s="141">
        <v>1000</v>
      </c>
      <c r="O996" s="141" t="s">
        <v>4381</v>
      </c>
      <c r="P996" s="141"/>
    </row>
    <row r="997" spans="1:16" ht="25.5">
      <c r="A997" s="141">
        <v>76807</v>
      </c>
      <c r="B997" s="141" t="s">
        <v>4325</v>
      </c>
      <c r="C997" s="142">
        <v>41201</v>
      </c>
      <c r="D997" s="141">
        <v>361</v>
      </c>
      <c r="E997" s="141" t="str">
        <f t="shared" si="87"/>
        <v>001</v>
      </c>
      <c r="F997" s="141" t="s">
        <v>4326</v>
      </c>
      <c r="G997" s="141" t="str">
        <f t="shared" si="89"/>
        <v>0385</v>
      </c>
      <c r="H997" s="141" t="s">
        <v>3798</v>
      </c>
      <c r="I997" s="141" t="str">
        <f t="shared" si="88"/>
        <v>999</v>
      </c>
      <c r="J997" s="141" t="s">
        <v>4327</v>
      </c>
      <c r="K997" s="141">
        <v>746</v>
      </c>
      <c r="L997" s="141">
        <v>3</v>
      </c>
      <c r="M997" s="141">
        <v>0</v>
      </c>
      <c r="N997" s="141">
        <v>7000</v>
      </c>
      <c r="O997" s="141" t="s">
        <v>4347</v>
      </c>
      <c r="P997" s="141"/>
    </row>
    <row r="998" spans="1:16" ht="25.5">
      <c r="A998" s="141">
        <v>76807</v>
      </c>
      <c r="B998" s="141" t="s">
        <v>4325</v>
      </c>
      <c r="C998" s="142">
        <v>41201</v>
      </c>
      <c r="D998" s="141">
        <v>361</v>
      </c>
      <c r="E998" s="141" t="str">
        <f t="shared" si="87"/>
        <v>001</v>
      </c>
      <c r="F998" s="141" t="s">
        <v>4326</v>
      </c>
      <c r="G998" s="141" t="str">
        <f t="shared" si="89"/>
        <v>0385</v>
      </c>
      <c r="H998" s="141" t="s">
        <v>3798</v>
      </c>
      <c r="I998" s="141" t="str">
        <f t="shared" si="88"/>
        <v>999</v>
      </c>
      <c r="J998" s="141" t="s">
        <v>4327</v>
      </c>
      <c r="K998" s="141">
        <v>747</v>
      </c>
      <c r="L998" s="141">
        <v>1</v>
      </c>
      <c r="M998" s="141">
        <v>0</v>
      </c>
      <c r="N998" s="141">
        <v>6000</v>
      </c>
      <c r="O998" s="141" t="s">
        <v>4407</v>
      </c>
      <c r="P998" s="141"/>
    </row>
    <row r="999" spans="1:16" ht="25.5">
      <c r="A999" s="141">
        <v>76807</v>
      </c>
      <c r="B999" s="141" t="s">
        <v>4325</v>
      </c>
      <c r="C999" s="142">
        <v>41201</v>
      </c>
      <c r="D999" s="141">
        <v>361</v>
      </c>
      <c r="E999" s="141" t="str">
        <f t="shared" si="87"/>
        <v>001</v>
      </c>
      <c r="F999" s="141" t="s">
        <v>4326</v>
      </c>
      <c r="G999" s="141" t="str">
        <f t="shared" si="89"/>
        <v>0385</v>
      </c>
      <c r="H999" s="141" t="s">
        <v>3798</v>
      </c>
      <c r="I999" s="141" t="str">
        <f t="shared" si="88"/>
        <v>999</v>
      </c>
      <c r="J999" s="141" t="s">
        <v>4327</v>
      </c>
      <c r="K999" s="141">
        <v>748</v>
      </c>
      <c r="L999" s="141">
        <v>2</v>
      </c>
      <c r="M999" s="141">
        <v>0</v>
      </c>
      <c r="N999" s="141">
        <v>4000</v>
      </c>
      <c r="O999" s="141" t="s">
        <v>4673</v>
      </c>
      <c r="P999" s="141"/>
    </row>
    <row r="1000" spans="1:16" ht="25.5">
      <c r="A1000" s="141">
        <v>76807</v>
      </c>
      <c r="B1000" s="141" t="s">
        <v>4325</v>
      </c>
      <c r="C1000" s="142">
        <v>41201</v>
      </c>
      <c r="D1000" s="141">
        <v>738</v>
      </c>
      <c r="E1000" s="141" t="str">
        <f t="shared" si="87"/>
        <v>001</v>
      </c>
      <c r="F1000" s="141" t="s">
        <v>4326</v>
      </c>
      <c r="G1000" s="141" t="str">
        <f t="shared" ref="G1000:G1027" si="90">"0387"</f>
        <v>0387</v>
      </c>
      <c r="H1000" s="141" t="s">
        <v>2634</v>
      </c>
      <c r="I1000" s="141" t="str">
        <f t="shared" si="88"/>
        <v>999</v>
      </c>
      <c r="J1000" s="141" t="s">
        <v>4327</v>
      </c>
      <c r="K1000" s="141">
        <v>2362</v>
      </c>
      <c r="L1000" s="141">
        <v>1</v>
      </c>
      <c r="M1000" s="141">
        <v>0</v>
      </c>
      <c r="N1000" s="141">
        <v>4000</v>
      </c>
      <c r="O1000" s="141" t="s">
        <v>4364</v>
      </c>
      <c r="P1000" s="141" t="s">
        <v>4674</v>
      </c>
    </row>
    <row r="1001" spans="1:16" ht="25.5">
      <c r="A1001" s="141">
        <v>76807</v>
      </c>
      <c r="B1001" s="141" t="s">
        <v>4325</v>
      </c>
      <c r="C1001" s="142">
        <v>41201</v>
      </c>
      <c r="D1001" s="141">
        <v>738</v>
      </c>
      <c r="E1001" s="141" t="str">
        <f t="shared" si="87"/>
        <v>001</v>
      </c>
      <c r="F1001" s="141" t="s">
        <v>4326</v>
      </c>
      <c r="G1001" s="141" t="str">
        <f t="shared" si="90"/>
        <v>0387</v>
      </c>
      <c r="H1001" s="141" t="s">
        <v>2634</v>
      </c>
      <c r="I1001" s="141" t="str">
        <f t="shared" si="88"/>
        <v>999</v>
      </c>
      <c r="J1001" s="141" t="s">
        <v>4327</v>
      </c>
      <c r="K1001" s="141">
        <v>2363</v>
      </c>
      <c r="L1001" s="141">
        <v>1</v>
      </c>
      <c r="M1001" s="141">
        <v>0</v>
      </c>
      <c r="N1001" s="141">
        <v>3000</v>
      </c>
      <c r="O1001" s="141" t="s">
        <v>4364</v>
      </c>
      <c r="P1001" s="141" t="s">
        <v>4365</v>
      </c>
    </row>
    <row r="1002" spans="1:16" ht="25.5">
      <c r="A1002" s="141">
        <v>76807</v>
      </c>
      <c r="B1002" s="141" t="s">
        <v>4325</v>
      </c>
      <c r="C1002" s="142">
        <v>41201</v>
      </c>
      <c r="D1002" s="141">
        <v>738</v>
      </c>
      <c r="E1002" s="141" t="str">
        <f t="shared" si="87"/>
        <v>001</v>
      </c>
      <c r="F1002" s="141" t="s">
        <v>4326</v>
      </c>
      <c r="G1002" s="141" t="str">
        <f t="shared" si="90"/>
        <v>0387</v>
      </c>
      <c r="H1002" s="141" t="s">
        <v>2634</v>
      </c>
      <c r="I1002" s="141" t="str">
        <f t="shared" si="88"/>
        <v>999</v>
      </c>
      <c r="J1002" s="141" t="s">
        <v>4327</v>
      </c>
      <c r="K1002" s="141">
        <v>2364</v>
      </c>
      <c r="L1002" s="141">
        <v>1</v>
      </c>
      <c r="M1002" s="141">
        <v>0</v>
      </c>
      <c r="N1002" s="141">
        <v>23000</v>
      </c>
      <c r="O1002" s="141" t="s">
        <v>4399</v>
      </c>
      <c r="P1002" s="141" t="s">
        <v>4383</v>
      </c>
    </row>
    <row r="1003" spans="1:16" ht="25.5">
      <c r="A1003" s="141">
        <v>76807</v>
      </c>
      <c r="B1003" s="141" t="s">
        <v>4325</v>
      </c>
      <c r="C1003" s="142">
        <v>41201</v>
      </c>
      <c r="D1003" s="141">
        <v>738</v>
      </c>
      <c r="E1003" s="141" t="str">
        <f t="shared" si="87"/>
        <v>001</v>
      </c>
      <c r="F1003" s="141" t="s">
        <v>4326</v>
      </c>
      <c r="G1003" s="141" t="str">
        <f t="shared" si="90"/>
        <v>0387</v>
      </c>
      <c r="H1003" s="141" t="s">
        <v>2634</v>
      </c>
      <c r="I1003" s="141" t="str">
        <f t="shared" si="88"/>
        <v>999</v>
      </c>
      <c r="J1003" s="141" t="s">
        <v>4327</v>
      </c>
      <c r="K1003" s="141">
        <v>2365</v>
      </c>
      <c r="L1003" s="141">
        <v>1</v>
      </c>
      <c r="M1003" s="141">
        <v>0</v>
      </c>
      <c r="N1003" s="141">
        <v>35000</v>
      </c>
      <c r="O1003" s="141" t="s">
        <v>4675</v>
      </c>
      <c r="P1003" s="141"/>
    </row>
    <row r="1004" spans="1:16" ht="25.5">
      <c r="A1004" s="141">
        <v>76807</v>
      </c>
      <c r="B1004" s="141" t="s">
        <v>4325</v>
      </c>
      <c r="C1004" s="142">
        <v>41201</v>
      </c>
      <c r="D1004" s="141">
        <v>738</v>
      </c>
      <c r="E1004" s="141" t="str">
        <f t="shared" si="87"/>
        <v>001</v>
      </c>
      <c r="F1004" s="141" t="s">
        <v>4326</v>
      </c>
      <c r="G1004" s="141" t="str">
        <f t="shared" si="90"/>
        <v>0387</v>
      </c>
      <c r="H1004" s="141" t="s">
        <v>2634</v>
      </c>
      <c r="I1004" s="141" t="str">
        <f t="shared" si="88"/>
        <v>999</v>
      </c>
      <c r="J1004" s="141" t="s">
        <v>4327</v>
      </c>
      <c r="K1004" s="141">
        <v>2366</v>
      </c>
      <c r="L1004" s="141">
        <v>1</v>
      </c>
      <c r="M1004" s="141">
        <v>0</v>
      </c>
      <c r="N1004" s="141">
        <v>35000</v>
      </c>
      <c r="O1004" s="141" t="s">
        <v>4676</v>
      </c>
      <c r="P1004" s="141"/>
    </row>
    <row r="1005" spans="1:16" ht="25.5">
      <c r="A1005" s="141">
        <v>76807</v>
      </c>
      <c r="B1005" s="141" t="s">
        <v>4325</v>
      </c>
      <c r="C1005" s="142">
        <v>41201</v>
      </c>
      <c r="D1005" s="141">
        <v>738</v>
      </c>
      <c r="E1005" s="141" t="str">
        <f t="shared" si="87"/>
        <v>001</v>
      </c>
      <c r="F1005" s="141" t="s">
        <v>4326</v>
      </c>
      <c r="G1005" s="141" t="str">
        <f t="shared" si="90"/>
        <v>0387</v>
      </c>
      <c r="H1005" s="141" t="s">
        <v>2634</v>
      </c>
      <c r="I1005" s="141" t="str">
        <f t="shared" si="88"/>
        <v>999</v>
      </c>
      <c r="J1005" s="141" t="s">
        <v>4327</v>
      </c>
      <c r="K1005" s="141">
        <v>2367</v>
      </c>
      <c r="L1005" s="141">
        <v>1</v>
      </c>
      <c r="M1005" s="141">
        <v>0</v>
      </c>
      <c r="N1005" s="141">
        <v>7000</v>
      </c>
      <c r="O1005" s="141" t="s">
        <v>4351</v>
      </c>
      <c r="P1005" s="141" t="s">
        <v>4428</v>
      </c>
    </row>
    <row r="1006" spans="1:16" ht="25.5">
      <c r="A1006" s="141">
        <v>76807</v>
      </c>
      <c r="B1006" s="141" t="s">
        <v>4325</v>
      </c>
      <c r="C1006" s="142">
        <v>41201</v>
      </c>
      <c r="D1006" s="141">
        <v>738</v>
      </c>
      <c r="E1006" s="141" t="str">
        <f t="shared" si="87"/>
        <v>001</v>
      </c>
      <c r="F1006" s="141" t="s">
        <v>4326</v>
      </c>
      <c r="G1006" s="141" t="str">
        <f t="shared" si="90"/>
        <v>0387</v>
      </c>
      <c r="H1006" s="141" t="s">
        <v>2634</v>
      </c>
      <c r="I1006" s="141" t="str">
        <f t="shared" si="88"/>
        <v>999</v>
      </c>
      <c r="J1006" s="141" t="s">
        <v>4327</v>
      </c>
      <c r="K1006" s="141">
        <v>2368</v>
      </c>
      <c r="L1006" s="141">
        <v>1</v>
      </c>
      <c r="M1006" s="141">
        <v>0</v>
      </c>
      <c r="N1006" s="141">
        <v>33000</v>
      </c>
      <c r="O1006" s="141" t="s">
        <v>4337</v>
      </c>
      <c r="P1006" s="141" t="s">
        <v>4677</v>
      </c>
    </row>
    <row r="1007" spans="1:16" ht="25.5">
      <c r="A1007" s="141">
        <v>76807</v>
      </c>
      <c r="B1007" s="141" t="s">
        <v>4325</v>
      </c>
      <c r="C1007" s="142">
        <v>41201</v>
      </c>
      <c r="D1007" s="141">
        <v>738</v>
      </c>
      <c r="E1007" s="141" t="str">
        <f t="shared" si="87"/>
        <v>001</v>
      </c>
      <c r="F1007" s="141" t="s">
        <v>4326</v>
      </c>
      <c r="G1007" s="141" t="str">
        <f t="shared" si="90"/>
        <v>0387</v>
      </c>
      <c r="H1007" s="141" t="s">
        <v>2634</v>
      </c>
      <c r="I1007" s="141" t="str">
        <f t="shared" si="88"/>
        <v>999</v>
      </c>
      <c r="J1007" s="141" t="s">
        <v>4327</v>
      </c>
      <c r="K1007" s="141">
        <v>2369</v>
      </c>
      <c r="L1007" s="141">
        <v>2</v>
      </c>
      <c r="M1007" s="141">
        <v>0</v>
      </c>
      <c r="N1007" s="141">
        <v>14000</v>
      </c>
      <c r="O1007" s="141" t="s">
        <v>4357</v>
      </c>
      <c r="P1007" s="141" t="s">
        <v>4494</v>
      </c>
    </row>
    <row r="1008" spans="1:16" ht="25.5">
      <c r="A1008" s="141">
        <v>76807</v>
      </c>
      <c r="B1008" s="141" t="s">
        <v>4325</v>
      </c>
      <c r="C1008" s="142">
        <v>41201</v>
      </c>
      <c r="D1008" s="141">
        <v>738</v>
      </c>
      <c r="E1008" s="141" t="str">
        <f t="shared" si="87"/>
        <v>001</v>
      </c>
      <c r="F1008" s="141" t="s">
        <v>4326</v>
      </c>
      <c r="G1008" s="141" t="str">
        <f t="shared" si="90"/>
        <v>0387</v>
      </c>
      <c r="H1008" s="141" t="s">
        <v>2634</v>
      </c>
      <c r="I1008" s="141" t="str">
        <f t="shared" si="88"/>
        <v>999</v>
      </c>
      <c r="J1008" s="141" t="s">
        <v>4327</v>
      </c>
      <c r="K1008" s="141">
        <v>2370</v>
      </c>
      <c r="L1008" s="141">
        <v>2</v>
      </c>
      <c r="M1008" s="141">
        <v>0</v>
      </c>
      <c r="N1008" s="141">
        <v>15000</v>
      </c>
      <c r="O1008" s="141" t="s">
        <v>4357</v>
      </c>
      <c r="P1008" s="141" t="s">
        <v>4477</v>
      </c>
    </row>
    <row r="1009" spans="1:16" ht="25.5">
      <c r="A1009" s="141">
        <v>76807</v>
      </c>
      <c r="B1009" s="141" t="s">
        <v>4325</v>
      </c>
      <c r="C1009" s="142">
        <v>41201</v>
      </c>
      <c r="D1009" s="141">
        <v>738</v>
      </c>
      <c r="E1009" s="141" t="str">
        <f t="shared" si="87"/>
        <v>001</v>
      </c>
      <c r="F1009" s="141" t="s">
        <v>4326</v>
      </c>
      <c r="G1009" s="141" t="str">
        <f t="shared" si="90"/>
        <v>0387</v>
      </c>
      <c r="H1009" s="141" t="s">
        <v>2634</v>
      </c>
      <c r="I1009" s="141" t="str">
        <f t="shared" si="88"/>
        <v>999</v>
      </c>
      <c r="J1009" s="141" t="s">
        <v>4327</v>
      </c>
      <c r="K1009" s="141">
        <v>2371</v>
      </c>
      <c r="L1009" s="141">
        <v>2</v>
      </c>
      <c r="M1009" s="141">
        <v>0</v>
      </c>
      <c r="N1009" s="141">
        <v>16000</v>
      </c>
      <c r="O1009" s="141" t="s">
        <v>4357</v>
      </c>
      <c r="P1009" s="141" t="s">
        <v>4419</v>
      </c>
    </row>
    <row r="1010" spans="1:16" ht="25.5">
      <c r="A1010" s="141">
        <v>76807</v>
      </c>
      <c r="B1010" s="141" t="s">
        <v>4325</v>
      </c>
      <c r="C1010" s="142">
        <v>41201</v>
      </c>
      <c r="D1010" s="141">
        <v>738</v>
      </c>
      <c r="E1010" s="141" t="str">
        <f t="shared" si="87"/>
        <v>001</v>
      </c>
      <c r="F1010" s="141" t="s">
        <v>4326</v>
      </c>
      <c r="G1010" s="141" t="str">
        <f t="shared" si="90"/>
        <v>0387</v>
      </c>
      <c r="H1010" s="141" t="s">
        <v>2634</v>
      </c>
      <c r="I1010" s="141" t="str">
        <f t="shared" si="88"/>
        <v>999</v>
      </c>
      <c r="J1010" s="141" t="s">
        <v>4327</v>
      </c>
      <c r="K1010" s="141">
        <v>2372</v>
      </c>
      <c r="L1010" s="141">
        <v>3</v>
      </c>
      <c r="M1010" s="141">
        <v>0</v>
      </c>
      <c r="N1010" s="141">
        <v>16000</v>
      </c>
      <c r="O1010" s="141" t="s">
        <v>4357</v>
      </c>
      <c r="P1010" s="141" t="s">
        <v>4678</v>
      </c>
    </row>
    <row r="1011" spans="1:16" ht="25.5">
      <c r="A1011" s="141">
        <v>76807</v>
      </c>
      <c r="B1011" s="141" t="s">
        <v>4325</v>
      </c>
      <c r="C1011" s="142">
        <v>41201</v>
      </c>
      <c r="D1011" s="141">
        <v>738</v>
      </c>
      <c r="E1011" s="141" t="str">
        <f t="shared" si="87"/>
        <v>001</v>
      </c>
      <c r="F1011" s="141" t="s">
        <v>4326</v>
      </c>
      <c r="G1011" s="141" t="str">
        <f t="shared" si="90"/>
        <v>0387</v>
      </c>
      <c r="H1011" s="141" t="s">
        <v>2634</v>
      </c>
      <c r="I1011" s="141" t="str">
        <f t="shared" si="88"/>
        <v>999</v>
      </c>
      <c r="J1011" s="141" t="s">
        <v>4327</v>
      </c>
      <c r="K1011" s="141">
        <v>2373</v>
      </c>
      <c r="L1011" s="141">
        <v>1</v>
      </c>
      <c r="M1011" s="141">
        <v>0</v>
      </c>
      <c r="N1011" s="141">
        <v>6000</v>
      </c>
      <c r="O1011" s="141" t="s">
        <v>4357</v>
      </c>
      <c r="P1011" s="141" t="s">
        <v>4551</v>
      </c>
    </row>
    <row r="1012" spans="1:16" ht="25.5">
      <c r="A1012" s="141">
        <v>76807</v>
      </c>
      <c r="B1012" s="141" t="s">
        <v>4325</v>
      </c>
      <c r="C1012" s="142">
        <v>41201</v>
      </c>
      <c r="D1012" s="141">
        <v>738</v>
      </c>
      <c r="E1012" s="141" t="str">
        <f t="shared" si="87"/>
        <v>001</v>
      </c>
      <c r="F1012" s="141" t="s">
        <v>4326</v>
      </c>
      <c r="G1012" s="141" t="str">
        <f t="shared" si="90"/>
        <v>0387</v>
      </c>
      <c r="H1012" s="141" t="s">
        <v>2634</v>
      </c>
      <c r="I1012" s="141" t="str">
        <f t="shared" si="88"/>
        <v>999</v>
      </c>
      <c r="J1012" s="141" t="s">
        <v>4327</v>
      </c>
      <c r="K1012" s="141">
        <v>2374</v>
      </c>
      <c r="L1012" s="141">
        <v>1</v>
      </c>
      <c r="M1012" s="141">
        <v>0</v>
      </c>
      <c r="N1012" s="141">
        <v>12000</v>
      </c>
      <c r="O1012" s="141" t="s">
        <v>4357</v>
      </c>
      <c r="P1012" s="141" t="s">
        <v>4496</v>
      </c>
    </row>
    <row r="1013" spans="1:16" ht="25.5">
      <c r="A1013" s="141">
        <v>76807</v>
      </c>
      <c r="B1013" s="141" t="s">
        <v>4325</v>
      </c>
      <c r="C1013" s="142">
        <v>41201</v>
      </c>
      <c r="D1013" s="141">
        <v>738</v>
      </c>
      <c r="E1013" s="141" t="str">
        <f t="shared" si="87"/>
        <v>001</v>
      </c>
      <c r="F1013" s="141" t="s">
        <v>4326</v>
      </c>
      <c r="G1013" s="141" t="str">
        <f t="shared" si="90"/>
        <v>0387</v>
      </c>
      <c r="H1013" s="141" t="s">
        <v>2634</v>
      </c>
      <c r="I1013" s="141" t="str">
        <f t="shared" si="88"/>
        <v>999</v>
      </c>
      <c r="J1013" s="141" t="s">
        <v>4327</v>
      </c>
      <c r="K1013" s="141">
        <v>2375</v>
      </c>
      <c r="L1013" s="141">
        <v>2</v>
      </c>
      <c r="M1013" s="141">
        <v>0</v>
      </c>
      <c r="N1013" s="141">
        <v>32000</v>
      </c>
      <c r="O1013" s="141" t="s">
        <v>4357</v>
      </c>
      <c r="P1013" s="141" t="s">
        <v>4679</v>
      </c>
    </row>
    <row r="1014" spans="1:16" ht="25.5">
      <c r="A1014" s="141">
        <v>76807</v>
      </c>
      <c r="B1014" s="141" t="s">
        <v>4325</v>
      </c>
      <c r="C1014" s="142">
        <v>41201</v>
      </c>
      <c r="D1014" s="141">
        <v>738</v>
      </c>
      <c r="E1014" s="141" t="str">
        <f t="shared" si="87"/>
        <v>001</v>
      </c>
      <c r="F1014" s="141" t="s">
        <v>4326</v>
      </c>
      <c r="G1014" s="141" t="str">
        <f t="shared" si="90"/>
        <v>0387</v>
      </c>
      <c r="H1014" s="141" t="s">
        <v>2634</v>
      </c>
      <c r="I1014" s="141" t="str">
        <f t="shared" si="88"/>
        <v>999</v>
      </c>
      <c r="J1014" s="141" t="s">
        <v>4327</v>
      </c>
      <c r="K1014" s="141">
        <v>2376</v>
      </c>
      <c r="L1014" s="141">
        <v>1</v>
      </c>
      <c r="M1014" s="141">
        <v>0</v>
      </c>
      <c r="N1014" s="141">
        <v>12000</v>
      </c>
      <c r="O1014" s="141" t="s">
        <v>4511</v>
      </c>
      <c r="P1014" s="141"/>
    </row>
    <row r="1015" spans="1:16" ht="25.5">
      <c r="A1015" s="141">
        <v>76807</v>
      </c>
      <c r="B1015" s="141" t="s">
        <v>4325</v>
      </c>
      <c r="C1015" s="142">
        <v>41201</v>
      </c>
      <c r="D1015" s="141">
        <v>738</v>
      </c>
      <c r="E1015" s="141" t="str">
        <f t="shared" si="87"/>
        <v>001</v>
      </c>
      <c r="F1015" s="141" t="s">
        <v>4326</v>
      </c>
      <c r="G1015" s="141" t="str">
        <f t="shared" si="90"/>
        <v>0387</v>
      </c>
      <c r="H1015" s="141" t="s">
        <v>2634</v>
      </c>
      <c r="I1015" s="141" t="str">
        <f t="shared" si="88"/>
        <v>999</v>
      </c>
      <c r="J1015" s="141" t="s">
        <v>4327</v>
      </c>
      <c r="K1015" s="141">
        <v>2377</v>
      </c>
      <c r="L1015" s="141">
        <v>1</v>
      </c>
      <c r="M1015" s="141">
        <v>0</v>
      </c>
      <c r="N1015" s="141">
        <v>42000</v>
      </c>
      <c r="O1015" s="141" t="s">
        <v>4368</v>
      </c>
      <c r="P1015" s="141"/>
    </row>
    <row r="1016" spans="1:16" ht="25.5">
      <c r="A1016" s="141">
        <v>76807</v>
      </c>
      <c r="B1016" s="141" t="s">
        <v>4325</v>
      </c>
      <c r="C1016" s="142">
        <v>41201</v>
      </c>
      <c r="D1016" s="141">
        <v>738</v>
      </c>
      <c r="E1016" s="141" t="str">
        <f t="shared" si="87"/>
        <v>001</v>
      </c>
      <c r="F1016" s="141" t="s">
        <v>4326</v>
      </c>
      <c r="G1016" s="141" t="str">
        <f t="shared" si="90"/>
        <v>0387</v>
      </c>
      <c r="H1016" s="141" t="s">
        <v>2634</v>
      </c>
      <c r="I1016" s="141" t="str">
        <f t="shared" si="88"/>
        <v>999</v>
      </c>
      <c r="J1016" s="141" t="s">
        <v>4327</v>
      </c>
      <c r="K1016" s="141">
        <v>2378</v>
      </c>
      <c r="L1016" s="141">
        <v>1</v>
      </c>
      <c r="M1016" s="141">
        <v>0</v>
      </c>
      <c r="N1016" s="141">
        <v>2000</v>
      </c>
      <c r="O1016" s="141" t="s">
        <v>4345</v>
      </c>
      <c r="P1016" s="141"/>
    </row>
    <row r="1017" spans="1:16" ht="25.5">
      <c r="A1017" s="141">
        <v>76807</v>
      </c>
      <c r="B1017" s="141" t="s">
        <v>4325</v>
      </c>
      <c r="C1017" s="142">
        <v>41201</v>
      </c>
      <c r="D1017" s="141">
        <v>738</v>
      </c>
      <c r="E1017" s="141" t="str">
        <f t="shared" si="87"/>
        <v>001</v>
      </c>
      <c r="F1017" s="141" t="s">
        <v>4326</v>
      </c>
      <c r="G1017" s="141" t="str">
        <f t="shared" si="90"/>
        <v>0387</v>
      </c>
      <c r="H1017" s="141" t="s">
        <v>2634</v>
      </c>
      <c r="I1017" s="141" t="str">
        <f t="shared" si="88"/>
        <v>999</v>
      </c>
      <c r="J1017" s="141" t="s">
        <v>4327</v>
      </c>
      <c r="K1017" s="141">
        <v>2379</v>
      </c>
      <c r="L1017" s="141">
        <v>4</v>
      </c>
      <c r="M1017" s="141">
        <v>0</v>
      </c>
      <c r="N1017" s="141">
        <v>3000</v>
      </c>
      <c r="O1017" s="141" t="s">
        <v>4343</v>
      </c>
      <c r="P1017" s="141"/>
    </row>
    <row r="1018" spans="1:16" ht="25.5">
      <c r="A1018" s="141">
        <v>76807</v>
      </c>
      <c r="B1018" s="141" t="s">
        <v>4325</v>
      </c>
      <c r="C1018" s="142">
        <v>41201</v>
      </c>
      <c r="D1018" s="141">
        <v>738</v>
      </c>
      <c r="E1018" s="141" t="str">
        <f t="shared" si="87"/>
        <v>001</v>
      </c>
      <c r="F1018" s="141" t="s">
        <v>4326</v>
      </c>
      <c r="G1018" s="141" t="str">
        <f t="shared" si="90"/>
        <v>0387</v>
      </c>
      <c r="H1018" s="141" t="s">
        <v>2634</v>
      </c>
      <c r="I1018" s="141" t="str">
        <f t="shared" si="88"/>
        <v>999</v>
      </c>
      <c r="J1018" s="141" t="s">
        <v>4327</v>
      </c>
      <c r="K1018" s="141">
        <v>2380</v>
      </c>
      <c r="L1018" s="141">
        <v>1</v>
      </c>
      <c r="M1018" s="141">
        <v>0</v>
      </c>
      <c r="N1018" s="141">
        <v>3000</v>
      </c>
      <c r="O1018" s="141" t="s">
        <v>4369</v>
      </c>
      <c r="P1018" s="141" t="s">
        <v>4481</v>
      </c>
    </row>
    <row r="1019" spans="1:16" ht="25.5">
      <c r="A1019" s="141">
        <v>76807</v>
      </c>
      <c r="B1019" s="141" t="s">
        <v>4325</v>
      </c>
      <c r="C1019" s="142">
        <v>41201</v>
      </c>
      <c r="D1019" s="141">
        <v>738</v>
      </c>
      <c r="E1019" s="141" t="str">
        <f t="shared" si="87"/>
        <v>001</v>
      </c>
      <c r="F1019" s="141" t="s">
        <v>4326</v>
      </c>
      <c r="G1019" s="141" t="str">
        <f t="shared" si="90"/>
        <v>0387</v>
      </c>
      <c r="H1019" s="141" t="s">
        <v>2634</v>
      </c>
      <c r="I1019" s="141" t="str">
        <f t="shared" si="88"/>
        <v>999</v>
      </c>
      <c r="J1019" s="141" t="s">
        <v>4327</v>
      </c>
      <c r="K1019" s="141">
        <v>2381</v>
      </c>
      <c r="L1019" s="141">
        <v>3</v>
      </c>
      <c r="M1019" s="141">
        <v>0</v>
      </c>
      <c r="N1019" s="141">
        <v>7000</v>
      </c>
      <c r="O1019" s="141" t="s">
        <v>4347</v>
      </c>
      <c r="P1019" s="141"/>
    </row>
    <row r="1020" spans="1:16" ht="25.5">
      <c r="A1020" s="141">
        <v>76807</v>
      </c>
      <c r="B1020" s="141" t="s">
        <v>4325</v>
      </c>
      <c r="C1020" s="142">
        <v>41201</v>
      </c>
      <c r="D1020" s="141">
        <v>738</v>
      </c>
      <c r="E1020" s="141" t="str">
        <f t="shared" si="87"/>
        <v>001</v>
      </c>
      <c r="F1020" s="141" t="s">
        <v>4326</v>
      </c>
      <c r="G1020" s="141" t="str">
        <f t="shared" si="90"/>
        <v>0387</v>
      </c>
      <c r="H1020" s="141" t="s">
        <v>2634</v>
      </c>
      <c r="I1020" s="141" t="str">
        <f t="shared" si="88"/>
        <v>999</v>
      </c>
      <c r="J1020" s="141" t="s">
        <v>4327</v>
      </c>
      <c r="K1020" s="141">
        <v>2382</v>
      </c>
      <c r="L1020" s="141">
        <v>4</v>
      </c>
      <c r="M1020" s="141">
        <v>0</v>
      </c>
      <c r="N1020" s="141">
        <v>7000</v>
      </c>
      <c r="O1020" s="141" t="s">
        <v>4515</v>
      </c>
      <c r="P1020" s="141"/>
    </row>
    <row r="1021" spans="1:16" ht="25.5">
      <c r="A1021" s="141">
        <v>76807</v>
      </c>
      <c r="B1021" s="141" t="s">
        <v>4325</v>
      </c>
      <c r="C1021" s="142">
        <v>41201</v>
      </c>
      <c r="D1021" s="141">
        <v>738</v>
      </c>
      <c r="E1021" s="141" t="str">
        <f t="shared" si="87"/>
        <v>001</v>
      </c>
      <c r="F1021" s="141" t="s">
        <v>4326</v>
      </c>
      <c r="G1021" s="141" t="str">
        <f t="shared" si="90"/>
        <v>0387</v>
      </c>
      <c r="H1021" s="141" t="s">
        <v>2634</v>
      </c>
      <c r="I1021" s="141" t="str">
        <f t="shared" si="88"/>
        <v>999</v>
      </c>
      <c r="J1021" s="141" t="s">
        <v>4327</v>
      </c>
      <c r="K1021" s="141">
        <v>2383</v>
      </c>
      <c r="L1021" s="141">
        <v>1</v>
      </c>
      <c r="M1021" s="141">
        <v>0</v>
      </c>
      <c r="N1021" s="141">
        <v>4000</v>
      </c>
      <c r="O1021" s="141" t="s">
        <v>4371</v>
      </c>
      <c r="P1021" s="141" t="s">
        <v>4372</v>
      </c>
    </row>
    <row r="1022" spans="1:16" ht="25.5">
      <c r="A1022" s="141">
        <v>76807</v>
      </c>
      <c r="B1022" s="141" t="s">
        <v>4325</v>
      </c>
      <c r="C1022" s="142">
        <v>41201</v>
      </c>
      <c r="D1022" s="141">
        <v>738</v>
      </c>
      <c r="E1022" s="141" t="str">
        <f t="shared" si="87"/>
        <v>001</v>
      </c>
      <c r="F1022" s="141" t="s">
        <v>4326</v>
      </c>
      <c r="G1022" s="141" t="str">
        <f t="shared" si="90"/>
        <v>0387</v>
      </c>
      <c r="H1022" s="141" t="s">
        <v>2634</v>
      </c>
      <c r="I1022" s="141" t="str">
        <f t="shared" si="88"/>
        <v>999</v>
      </c>
      <c r="J1022" s="141" t="s">
        <v>4327</v>
      </c>
      <c r="K1022" s="141">
        <v>2384</v>
      </c>
      <c r="L1022" s="141">
        <v>1</v>
      </c>
      <c r="M1022" s="141">
        <v>0</v>
      </c>
      <c r="N1022" s="141">
        <v>4000</v>
      </c>
      <c r="O1022" s="141" t="s">
        <v>4371</v>
      </c>
      <c r="P1022" s="141" t="s">
        <v>4372</v>
      </c>
    </row>
    <row r="1023" spans="1:16" ht="25.5">
      <c r="A1023" s="141">
        <v>76807</v>
      </c>
      <c r="B1023" s="141" t="s">
        <v>4325</v>
      </c>
      <c r="C1023" s="142">
        <v>41201</v>
      </c>
      <c r="D1023" s="141">
        <v>738</v>
      </c>
      <c r="E1023" s="141" t="str">
        <f t="shared" si="87"/>
        <v>001</v>
      </c>
      <c r="F1023" s="141" t="s">
        <v>4326</v>
      </c>
      <c r="G1023" s="141" t="str">
        <f t="shared" si="90"/>
        <v>0387</v>
      </c>
      <c r="H1023" s="141" t="s">
        <v>2634</v>
      </c>
      <c r="I1023" s="141" t="str">
        <f t="shared" si="88"/>
        <v>999</v>
      </c>
      <c r="J1023" s="141" t="s">
        <v>4327</v>
      </c>
      <c r="K1023" s="141">
        <v>2385</v>
      </c>
      <c r="L1023" s="141">
        <v>1</v>
      </c>
      <c r="M1023" s="141">
        <v>0</v>
      </c>
      <c r="N1023" s="141">
        <v>4000</v>
      </c>
      <c r="O1023" s="141" t="s">
        <v>4371</v>
      </c>
      <c r="P1023" s="141" t="s">
        <v>4372</v>
      </c>
    </row>
    <row r="1024" spans="1:16" ht="25.5">
      <c r="A1024" s="141">
        <v>76807</v>
      </c>
      <c r="B1024" s="141" t="s">
        <v>4325</v>
      </c>
      <c r="C1024" s="142">
        <v>41201</v>
      </c>
      <c r="D1024" s="141">
        <v>738</v>
      </c>
      <c r="E1024" s="141" t="str">
        <f t="shared" si="87"/>
        <v>001</v>
      </c>
      <c r="F1024" s="141" t="s">
        <v>4326</v>
      </c>
      <c r="G1024" s="141" t="str">
        <f t="shared" si="90"/>
        <v>0387</v>
      </c>
      <c r="H1024" s="141" t="s">
        <v>2634</v>
      </c>
      <c r="I1024" s="141" t="str">
        <f t="shared" si="88"/>
        <v>999</v>
      </c>
      <c r="J1024" s="141" t="s">
        <v>4327</v>
      </c>
      <c r="K1024" s="141">
        <v>2386</v>
      </c>
      <c r="L1024" s="141">
        <v>1</v>
      </c>
      <c r="M1024" s="141">
        <v>0</v>
      </c>
      <c r="N1024" s="141">
        <v>4000</v>
      </c>
      <c r="O1024" s="141" t="s">
        <v>4371</v>
      </c>
      <c r="P1024" s="141" t="s">
        <v>4372</v>
      </c>
    </row>
    <row r="1025" spans="1:16" ht="25.5">
      <c r="A1025" s="141">
        <v>76807</v>
      </c>
      <c r="B1025" s="141" t="s">
        <v>4325</v>
      </c>
      <c r="C1025" s="142">
        <v>41201</v>
      </c>
      <c r="D1025" s="141">
        <v>738</v>
      </c>
      <c r="E1025" s="141" t="str">
        <f t="shared" si="87"/>
        <v>001</v>
      </c>
      <c r="F1025" s="141" t="s">
        <v>4326</v>
      </c>
      <c r="G1025" s="141" t="str">
        <f t="shared" si="90"/>
        <v>0387</v>
      </c>
      <c r="H1025" s="141" t="s">
        <v>2634</v>
      </c>
      <c r="I1025" s="141" t="str">
        <f t="shared" si="88"/>
        <v>999</v>
      </c>
      <c r="J1025" s="141" t="s">
        <v>4327</v>
      </c>
      <c r="K1025" s="141">
        <v>2387</v>
      </c>
      <c r="L1025" s="141">
        <v>1</v>
      </c>
      <c r="M1025" s="141">
        <v>0</v>
      </c>
      <c r="N1025" s="141">
        <v>9000</v>
      </c>
      <c r="O1025" s="141" t="s">
        <v>4550</v>
      </c>
      <c r="P1025" s="141" t="s">
        <v>4372</v>
      </c>
    </row>
    <row r="1026" spans="1:16" ht="25.5">
      <c r="A1026" s="141">
        <v>76807</v>
      </c>
      <c r="B1026" s="141" t="s">
        <v>4325</v>
      </c>
      <c r="C1026" s="142">
        <v>41201</v>
      </c>
      <c r="D1026" s="141">
        <v>738</v>
      </c>
      <c r="E1026" s="141" t="str">
        <f t="shared" ref="E1026:E1089" si="91">"001"</f>
        <v>001</v>
      </c>
      <c r="F1026" s="141" t="s">
        <v>4326</v>
      </c>
      <c r="G1026" s="141" t="str">
        <f t="shared" si="90"/>
        <v>0387</v>
      </c>
      <c r="H1026" s="141" t="s">
        <v>2634</v>
      </c>
      <c r="I1026" s="141" t="str">
        <f t="shared" ref="I1026:I1089" si="92">"999"</f>
        <v>999</v>
      </c>
      <c r="J1026" s="141" t="s">
        <v>4327</v>
      </c>
      <c r="K1026" s="141">
        <v>2388</v>
      </c>
      <c r="L1026" s="141">
        <v>1</v>
      </c>
      <c r="M1026" s="141">
        <v>0</v>
      </c>
      <c r="N1026" s="141">
        <v>9000</v>
      </c>
      <c r="O1026" s="141" t="s">
        <v>4550</v>
      </c>
      <c r="P1026" s="141" t="s">
        <v>4372</v>
      </c>
    </row>
    <row r="1027" spans="1:16" ht="25.5">
      <c r="A1027" s="141">
        <v>76807</v>
      </c>
      <c r="B1027" s="141" t="s">
        <v>4325</v>
      </c>
      <c r="C1027" s="142">
        <v>41201</v>
      </c>
      <c r="D1027" s="141">
        <v>738</v>
      </c>
      <c r="E1027" s="141" t="str">
        <f t="shared" si="91"/>
        <v>001</v>
      </c>
      <c r="F1027" s="141" t="s">
        <v>4326</v>
      </c>
      <c r="G1027" s="141" t="str">
        <f t="shared" si="90"/>
        <v>0387</v>
      </c>
      <c r="H1027" s="141" t="s">
        <v>2634</v>
      </c>
      <c r="I1027" s="141" t="str">
        <f t="shared" si="92"/>
        <v>999</v>
      </c>
      <c r="J1027" s="141" t="s">
        <v>4327</v>
      </c>
      <c r="K1027" s="141">
        <v>2389</v>
      </c>
      <c r="L1027" s="141">
        <v>1</v>
      </c>
      <c r="M1027" s="141">
        <v>0</v>
      </c>
      <c r="N1027" s="141">
        <v>9000</v>
      </c>
      <c r="O1027" s="141" t="s">
        <v>4550</v>
      </c>
      <c r="P1027" s="141" t="s">
        <v>4372</v>
      </c>
    </row>
    <row r="1028" spans="1:16" ht="25.5">
      <c r="A1028" s="141">
        <v>76807</v>
      </c>
      <c r="B1028" s="141" t="s">
        <v>4325</v>
      </c>
      <c r="C1028" s="142">
        <v>41201</v>
      </c>
      <c r="D1028" s="141">
        <v>387</v>
      </c>
      <c r="E1028" s="141" t="str">
        <f t="shared" si="91"/>
        <v>001</v>
      </c>
      <c r="F1028" s="141" t="s">
        <v>4326</v>
      </c>
      <c r="G1028" s="141" t="str">
        <f>"0388"</f>
        <v>0388</v>
      </c>
      <c r="H1028" s="141" t="s">
        <v>1643</v>
      </c>
      <c r="I1028" s="141" t="str">
        <f t="shared" si="92"/>
        <v>999</v>
      </c>
      <c r="J1028" s="141" t="s">
        <v>4327</v>
      </c>
      <c r="K1028" s="141">
        <v>1011</v>
      </c>
      <c r="L1028" s="141">
        <v>1</v>
      </c>
      <c r="M1028" s="141">
        <v>0</v>
      </c>
      <c r="N1028" s="141">
        <v>15000</v>
      </c>
      <c r="O1028" s="141" t="s">
        <v>4328</v>
      </c>
      <c r="P1028" s="141" t="s">
        <v>4590</v>
      </c>
    </row>
    <row r="1029" spans="1:16" ht="25.5">
      <c r="A1029" s="141">
        <v>76807</v>
      </c>
      <c r="B1029" s="141" t="s">
        <v>4325</v>
      </c>
      <c r="C1029" s="142">
        <v>41201</v>
      </c>
      <c r="D1029" s="141">
        <v>1175</v>
      </c>
      <c r="E1029" s="141" t="str">
        <f t="shared" si="91"/>
        <v>001</v>
      </c>
      <c r="F1029" s="141" t="s">
        <v>4326</v>
      </c>
      <c r="G1029" s="141" t="str">
        <f t="shared" ref="G1029:G1036" si="93">"0389"</f>
        <v>0389</v>
      </c>
      <c r="H1029" s="141" t="s">
        <v>3449</v>
      </c>
      <c r="I1029" s="141" t="str">
        <f t="shared" si="92"/>
        <v>999</v>
      </c>
      <c r="J1029" s="141" t="s">
        <v>4327</v>
      </c>
      <c r="K1029" s="141">
        <v>3079</v>
      </c>
      <c r="L1029" s="141">
        <v>1</v>
      </c>
      <c r="M1029" s="141">
        <v>0</v>
      </c>
      <c r="N1029" s="141">
        <v>175000</v>
      </c>
      <c r="O1029" s="141" t="s">
        <v>4649</v>
      </c>
      <c r="P1029" s="141"/>
    </row>
    <row r="1030" spans="1:16" ht="25.5">
      <c r="A1030" s="141">
        <v>76807</v>
      </c>
      <c r="B1030" s="141" t="s">
        <v>4325</v>
      </c>
      <c r="C1030" s="142">
        <v>41201</v>
      </c>
      <c r="D1030" s="141">
        <v>1175</v>
      </c>
      <c r="E1030" s="141" t="str">
        <f t="shared" si="91"/>
        <v>001</v>
      </c>
      <c r="F1030" s="141" t="s">
        <v>4326</v>
      </c>
      <c r="G1030" s="141" t="str">
        <f t="shared" si="93"/>
        <v>0389</v>
      </c>
      <c r="H1030" s="141" t="s">
        <v>3449</v>
      </c>
      <c r="I1030" s="141" t="str">
        <f t="shared" si="92"/>
        <v>999</v>
      </c>
      <c r="J1030" s="141" t="s">
        <v>4327</v>
      </c>
      <c r="K1030" s="141">
        <v>3080</v>
      </c>
      <c r="L1030" s="141">
        <v>1</v>
      </c>
      <c r="M1030" s="141">
        <v>0</v>
      </c>
      <c r="N1030" s="141">
        <v>135000</v>
      </c>
      <c r="O1030" s="141" t="s">
        <v>4648</v>
      </c>
      <c r="P1030" s="141"/>
    </row>
    <row r="1031" spans="1:16" ht="25.5">
      <c r="A1031" s="141">
        <v>76807</v>
      </c>
      <c r="B1031" s="141" t="s">
        <v>4325</v>
      </c>
      <c r="C1031" s="142">
        <v>41201</v>
      </c>
      <c r="D1031" s="141">
        <v>1175</v>
      </c>
      <c r="E1031" s="141" t="str">
        <f t="shared" si="91"/>
        <v>001</v>
      </c>
      <c r="F1031" s="141" t="s">
        <v>4326</v>
      </c>
      <c r="G1031" s="141" t="str">
        <f t="shared" si="93"/>
        <v>0389</v>
      </c>
      <c r="H1031" s="141" t="s">
        <v>3449</v>
      </c>
      <c r="I1031" s="141" t="str">
        <f t="shared" si="92"/>
        <v>999</v>
      </c>
      <c r="J1031" s="141" t="s">
        <v>4327</v>
      </c>
      <c r="K1031" s="141">
        <v>3081</v>
      </c>
      <c r="L1031" s="141">
        <v>1</v>
      </c>
      <c r="M1031" s="141">
        <v>0</v>
      </c>
      <c r="N1031" s="141">
        <v>2000</v>
      </c>
      <c r="O1031" s="141" t="s">
        <v>4334</v>
      </c>
      <c r="P1031" s="141" t="s">
        <v>4340</v>
      </c>
    </row>
    <row r="1032" spans="1:16" ht="25.5">
      <c r="A1032" s="141">
        <v>76807</v>
      </c>
      <c r="B1032" s="141" t="s">
        <v>4325</v>
      </c>
      <c r="C1032" s="142">
        <v>41201</v>
      </c>
      <c r="D1032" s="141">
        <v>1175</v>
      </c>
      <c r="E1032" s="141" t="str">
        <f t="shared" si="91"/>
        <v>001</v>
      </c>
      <c r="F1032" s="141" t="s">
        <v>4326</v>
      </c>
      <c r="G1032" s="141" t="str">
        <f t="shared" si="93"/>
        <v>0389</v>
      </c>
      <c r="H1032" s="141" t="s">
        <v>3449</v>
      </c>
      <c r="I1032" s="141" t="str">
        <f t="shared" si="92"/>
        <v>999</v>
      </c>
      <c r="J1032" s="141" t="s">
        <v>4327</v>
      </c>
      <c r="K1032" s="141">
        <v>3082</v>
      </c>
      <c r="L1032" s="141">
        <v>1</v>
      </c>
      <c r="M1032" s="141">
        <v>0</v>
      </c>
      <c r="N1032" s="141">
        <v>0</v>
      </c>
      <c r="O1032" s="141" t="s">
        <v>4660</v>
      </c>
      <c r="P1032" s="141"/>
    </row>
    <row r="1033" spans="1:16" ht="25.5">
      <c r="A1033" s="141">
        <v>76807</v>
      </c>
      <c r="B1033" s="141" t="s">
        <v>4325</v>
      </c>
      <c r="C1033" s="142">
        <v>41201</v>
      </c>
      <c r="D1033" s="141">
        <v>1175</v>
      </c>
      <c r="E1033" s="141" t="str">
        <f t="shared" si="91"/>
        <v>001</v>
      </c>
      <c r="F1033" s="141" t="s">
        <v>4326</v>
      </c>
      <c r="G1033" s="141" t="str">
        <f t="shared" si="93"/>
        <v>0389</v>
      </c>
      <c r="H1033" s="141" t="s">
        <v>3449</v>
      </c>
      <c r="I1033" s="141" t="str">
        <f t="shared" si="92"/>
        <v>999</v>
      </c>
      <c r="J1033" s="141" t="s">
        <v>4327</v>
      </c>
      <c r="K1033" s="141">
        <v>3083</v>
      </c>
      <c r="L1033" s="141">
        <v>5</v>
      </c>
      <c r="M1033" s="141">
        <v>0</v>
      </c>
      <c r="N1033" s="141">
        <v>1000</v>
      </c>
      <c r="O1033" s="141" t="s">
        <v>4624</v>
      </c>
      <c r="P1033" s="141"/>
    </row>
    <row r="1034" spans="1:16" ht="25.5">
      <c r="A1034" s="141">
        <v>76807</v>
      </c>
      <c r="B1034" s="141" t="s">
        <v>4325</v>
      </c>
      <c r="C1034" s="142">
        <v>41201</v>
      </c>
      <c r="D1034" s="141">
        <v>1175</v>
      </c>
      <c r="E1034" s="141" t="str">
        <f t="shared" si="91"/>
        <v>001</v>
      </c>
      <c r="F1034" s="141" t="s">
        <v>4326</v>
      </c>
      <c r="G1034" s="141" t="str">
        <f t="shared" si="93"/>
        <v>0389</v>
      </c>
      <c r="H1034" s="141" t="s">
        <v>3449</v>
      </c>
      <c r="I1034" s="141" t="str">
        <f t="shared" si="92"/>
        <v>999</v>
      </c>
      <c r="J1034" s="141" t="s">
        <v>4327</v>
      </c>
      <c r="K1034" s="141">
        <v>3084</v>
      </c>
      <c r="L1034" s="141">
        <v>12</v>
      </c>
      <c r="M1034" s="141">
        <v>0</v>
      </c>
      <c r="N1034" s="141">
        <v>9000</v>
      </c>
      <c r="O1034" s="141" t="s">
        <v>4343</v>
      </c>
      <c r="P1034" s="141"/>
    </row>
    <row r="1035" spans="1:16" ht="25.5">
      <c r="A1035" s="141">
        <v>76807</v>
      </c>
      <c r="B1035" s="141" t="s">
        <v>4325</v>
      </c>
      <c r="C1035" s="142">
        <v>41201</v>
      </c>
      <c r="D1035" s="141">
        <v>1175</v>
      </c>
      <c r="E1035" s="141" t="str">
        <f t="shared" si="91"/>
        <v>001</v>
      </c>
      <c r="F1035" s="141" t="s">
        <v>4326</v>
      </c>
      <c r="G1035" s="141" t="str">
        <f t="shared" si="93"/>
        <v>0389</v>
      </c>
      <c r="H1035" s="141" t="s">
        <v>3449</v>
      </c>
      <c r="I1035" s="141" t="str">
        <f t="shared" si="92"/>
        <v>999</v>
      </c>
      <c r="J1035" s="141" t="s">
        <v>4327</v>
      </c>
      <c r="K1035" s="141">
        <v>3085</v>
      </c>
      <c r="L1035" s="141">
        <v>4</v>
      </c>
      <c r="M1035" s="141">
        <v>0</v>
      </c>
      <c r="N1035" s="141">
        <v>6000</v>
      </c>
      <c r="O1035" s="141" t="s">
        <v>4334</v>
      </c>
      <c r="P1035" s="141" t="s">
        <v>4363</v>
      </c>
    </row>
    <row r="1036" spans="1:16" ht="25.5">
      <c r="A1036" s="141">
        <v>76807</v>
      </c>
      <c r="B1036" s="141" t="s">
        <v>4325</v>
      </c>
      <c r="C1036" s="142">
        <v>41201</v>
      </c>
      <c r="D1036" s="141">
        <v>1175</v>
      </c>
      <c r="E1036" s="141" t="str">
        <f t="shared" si="91"/>
        <v>001</v>
      </c>
      <c r="F1036" s="141" t="s">
        <v>4326</v>
      </c>
      <c r="G1036" s="141" t="str">
        <f t="shared" si="93"/>
        <v>0389</v>
      </c>
      <c r="H1036" s="141" t="s">
        <v>3449</v>
      </c>
      <c r="I1036" s="141" t="str">
        <f t="shared" si="92"/>
        <v>999</v>
      </c>
      <c r="J1036" s="141" t="s">
        <v>4327</v>
      </c>
      <c r="K1036" s="141">
        <v>3086</v>
      </c>
      <c r="L1036" s="141">
        <v>2</v>
      </c>
      <c r="M1036" s="141">
        <v>0</v>
      </c>
      <c r="N1036" s="141">
        <v>1000</v>
      </c>
      <c r="O1036" s="141" t="s">
        <v>4350</v>
      </c>
      <c r="P1036" s="141"/>
    </row>
    <row r="1037" spans="1:16" ht="25.5">
      <c r="A1037" s="141">
        <v>76807</v>
      </c>
      <c r="B1037" s="141" t="s">
        <v>4325</v>
      </c>
      <c r="C1037" s="142">
        <v>41201</v>
      </c>
      <c r="D1037" s="141">
        <v>402</v>
      </c>
      <c r="E1037" s="141" t="str">
        <f t="shared" si="91"/>
        <v>001</v>
      </c>
      <c r="F1037" s="141" t="s">
        <v>4326</v>
      </c>
      <c r="G1037" s="141" t="str">
        <f>"0393"</f>
        <v>0393</v>
      </c>
      <c r="H1037" s="141" t="s">
        <v>1644</v>
      </c>
      <c r="I1037" s="141" t="str">
        <f t="shared" si="92"/>
        <v>999</v>
      </c>
      <c r="J1037" s="141" t="s">
        <v>4327</v>
      </c>
      <c r="K1037" s="141">
        <v>1078</v>
      </c>
      <c r="L1037" s="141">
        <v>20</v>
      </c>
      <c r="M1037" s="141">
        <v>0</v>
      </c>
      <c r="N1037" s="141">
        <v>11000</v>
      </c>
      <c r="O1037" s="141" t="s">
        <v>4350</v>
      </c>
      <c r="P1037" s="141"/>
    </row>
    <row r="1038" spans="1:16" ht="25.5">
      <c r="A1038" s="141">
        <v>76807</v>
      </c>
      <c r="B1038" s="141" t="s">
        <v>4325</v>
      </c>
      <c r="C1038" s="142">
        <v>41201</v>
      </c>
      <c r="D1038" s="141">
        <v>402</v>
      </c>
      <c r="E1038" s="141" t="str">
        <f t="shared" si="91"/>
        <v>001</v>
      </c>
      <c r="F1038" s="141" t="s">
        <v>4326</v>
      </c>
      <c r="G1038" s="141" t="str">
        <f>"0393"</f>
        <v>0393</v>
      </c>
      <c r="H1038" s="141" t="s">
        <v>1644</v>
      </c>
      <c r="I1038" s="141" t="str">
        <f t="shared" si="92"/>
        <v>999</v>
      </c>
      <c r="J1038" s="141" t="s">
        <v>4327</v>
      </c>
      <c r="K1038" s="141">
        <v>1079</v>
      </c>
      <c r="L1038" s="141">
        <v>1</v>
      </c>
      <c r="M1038" s="141">
        <v>0</v>
      </c>
      <c r="N1038" s="141">
        <v>3000</v>
      </c>
      <c r="O1038" s="141" t="s">
        <v>4351</v>
      </c>
      <c r="P1038" s="141" t="s">
        <v>4470</v>
      </c>
    </row>
    <row r="1039" spans="1:16" ht="25.5">
      <c r="A1039" s="141">
        <v>76807</v>
      </c>
      <c r="B1039" s="141" t="s">
        <v>4325</v>
      </c>
      <c r="C1039" s="142">
        <v>41201</v>
      </c>
      <c r="D1039" s="141">
        <v>402</v>
      </c>
      <c r="E1039" s="141" t="str">
        <f t="shared" si="91"/>
        <v>001</v>
      </c>
      <c r="F1039" s="141" t="s">
        <v>4326</v>
      </c>
      <c r="G1039" s="141" t="str">
        <f>"0393"</f>
        <v>0393</v>
      </c>
      <c r="H1039" s="141" t="s">
        <v>1644</v>
      </c>
      <c r="I1039" s="141" t="str">
        <f t="shared" si="92"/>
        <v>999</v>
      </c>
      <c r="J1039" s="141" t="s">
        <v>4327</v>
      </c>
      <c r="K1039" s="141">
        <v>1080</v>
      </c>
      <c r="L1039" s="141">
        <v>4</v>
      </c>
      <c r="M1039" s="141">
        <v>0</v>
      </c>
      <c r="N1039" s="141">
        <v>3000</v>
      </c>
      <c r="O1039" s="141" t="s">
        <v>4343</v>
      </c>
      <c r="P1039" s="141"/>
    </row>
    <row r="1040" spans="1:16" ht="25.5">
      <c r="A1040" s="141">
        <v>76807</v>
      </c>
      <c r="B1040" s="141" t="s">
        <v>4325</v>
      </c>
      <c r="C1040" s="142">
        <v>41201</v>
      </c>
      <c r="D1040" s="141">
        <v>1269</v>
      </c>
      <c r="E1040" s="141" t="str">
        <f t="shared" si="91"/>
        <v>001</v>
      </c>
      <c r="F1040" s="141" t="s">
        <v>4326</v>
      </c>
      <c r="G1040" s="141" t="str">
        <f>"0394"</f>
        <v>0394</v>
      </c>
      <c r="H1040" s="141" t="s">
        <v>4117</v>
      </c>
      <c r="I1040" s="141" t="str">
        <f t="shared" si="92"/>
        <v>999</v>
      </c>
      <c r="J1040" s="141" t="s">
        <v>4327</v>
      </c>
      <c r="K1040" s="141">
        <v>3379</v>
      </c>
      <c r="L1040" s="141">
        <v>1</v>
      </c>
      <c r="M1040" s="141">
        <v>0</v>
      </c>
      <c r="N1040" s="141">
        <v>977000</v>
      </c>
      <c r="O1040" s="141" t="s">
        <v>4327</v>
      </c>
      <c r="P1040" s="141"/>
    </row>
    <row r="1041" spans="1:16" ht="25.5">
      <c r="A1041" s="141">
        <v>76807</v>
      </c>
      <c r="B1041" s="141" t="s">
        <v>4325</v>
      </c>
      <c r="C1041" s="142">
        <v>41201</v>
      </c>
      <c r="D1041" s="141">
        <v>1270</v>
      </c>
      <c r="E1041" s="141" t="str">
        <f t="shared" si="91"/>
        <v>001</v>
      </c>
      <c r="F1041" s="141" t="s">
        <v>4326</v>
      </c>
      <c r="G1041" s="141" t="str">
        <f>"0395"</f>
        <v>0395</v>
      </c>
      <c r="H1041" s="141" t="s">
        <v>4117</v>
      </c>
      <c r="I1041" s="141" t="str">
        <f t="shared" si="92"/>
        <v>999</v>
      </c>
      <c r="J1041" s="141" t="s">
        <v>4327</v>
      </c>
      <c r="K1041" s="141">
        <v>3380</v>
      </c>
      <c r="L1041" s="141">
        <v>1</v>
      </c>
      <c r="M1041" s="141">
        <v>0</v>
      </c>
      <c r="N1041" s="141">
        <v>65000</v>
      </c>
      <c r="O1041" s="141" t="s">
        <v>4327</v>
      </c>
      <c r="P1041" s="141"/>
    </row>
    <row r="1042" spans="1:16" ht="25.5">
      <c r="A1042" s="141">
        <v>76807</v>
      </c>
      <c r="B1042" s="141" t="s">
        <v>4325</v>
      </c>
      <c r="C1042" s="142">
        <v>41201</v>
      </c>
      <c r="D1042" s="141">
        <v>431</v>
      </c>
      <c r="E1042" s="141" t="str">
        <f t="shared" si="91"/>
        <v>001</v>
      </c>
      <c r="F1042" s="141" t="s">
        <v>4326</v>
      </c>
      <c r="G1042" s="141" t="str">
        <f t="shared" ref="G1042:G1053" si="94">"0398"</f>
        <v>0398</v>
      </c>
      <c r="H1042" s="141" t="s">
        <v>1645</v>
      </c>
      <c r="I1042" s="141" t="str">
        <f t="shared" si="92"/>
        <v>999</v>
      </c>
      <c r="J1042" s="141" t="s">
        <v>4327</v>
      </c>
      <c r="K1042" s="141">
        <v>1245</v>
      </c>
      <c r="L1042" s="141">
        <v>1</v>
      </c>
      <c r="M1042" s="141">
        <v>0</v>
      </c>
      <c r="N1042" s="141">
        <v>112000</v>
      </c>
      <c r="O1042" s="141" t="s">
        <v>4366</v>
      </c>
      <c r="P1042" s="141" t="s">
        <v>4367</v>
      </c>
    </row>
    <row r="1043" spans="1:16" ht="25.5">
      <c r="A1043" s="141">
        <v>76807</v>
      </c>
      <c r="B1043" s="141" t="s">
        <v>4325</v>
      </c>
      <c r="C1043" s="142">
        <v>41201</v>
      </c>
      <c r="D1043" s="141">
        <v>431</v>
      </c>
      <c r="E1043" s="141" t="str">
        <f t="shared" si="91"/>
        <v>001</v>
      </c>
      <c r="F1043" s="141" t="s">
        <v>4326</v>
      </c>
      <c r="G1043" s="141" t="str">
        <f t="shared" si="94"/>
        <v>0398</v>
      </c>
      <c r="H1043" s="141" t="s">
        <v>1645</v>
      </c>
      <c r="I1043" s="141" t="str">
        <f t="shared" si="92"/>
        <v>999</v>
      </c>
      <c r="J1043" s="141" t="s">
        <v>4327</v>
      </c>
      <c r="K1043" s="141">
        <v>1246</v>
      </c>
      <c r="L1043" s="141">
        <v>2</v>
      </c>
      <c r="M1043" s="141">
        <v>0</v>
      </c>
      <c r="N1043" s="141">
        <v>3000</v>
      </c>
      <c r="O1043" s="141" t="s">
        <v>4515</v>
      </c>
      <c r="P1043" s="141"/>
    </row>
    <row r="1044" spans="1:16" ht="25.5">
      <c r="A1044" s="141">
        <v>76807</v>
      </c>
      <c r="B1044" s="141" t="s">
        <v>4325</v>
      </c>
      <c r="C1044" s="142">
        <v>41201</v>
      </c>
      <c r="D1044" s="141">
        <v>431</v>
      </c>
      <c r="E1044" s="141" t="str">
        <f t="shared" si="91"/>
        <v>001</v>
      </c>
      <c r="F1044" s="141" t="s">
        <v>4326</v>
      </c>
      <c r="G1044" s="141" t="str">
        <f t="shared" si="94"/>
        <v>0398</v>
      </c>
      <c r="H1044" s="141" t="s">
        <v>1645</v>
      </c>
      <c r="I1044" s="141" t="str">
        <f t="shared" si="92"/>
        <v>999</v>
      </c>
      <c r="J1044" s="141" t="s">
        <v>4327</v>
      </c>
      <c r="K1044" s="141">
        <v>1247</v>
      </c>
      <c r="L1044" s="141">
        <v>3</v>
      </c>
      <c r="M1044" s="141">
        <v>0</v>
      </c>
      <c r="N1044" s="141">
        <v>25000</v>
      </c>
      <c r="O1044" s="141" t="s">
        <v>4511</v>
      </c>
      <c r="P1044" s="141"/>
    </row>
    <row r="1045" spans="1:16" ht="25.5">
      <c r="A1045" s="141">
        <v>76807</v>
      </c>
      <c r="B1045" s="141" t="s">
        <v>4325</v>
      </c>
      <c r="C1045" s="142">
        <v>41201</v>
      </c>
      <c r="D1045" s="141">
        <v>431</v>
      </c>
      <c r="E1045" s="141" t="str">
        <f t="shared" si="91"/>
        <v>001</v>
      </c>
      <c r="F1045" s="141" t="s">
        <v>4326</v>
      </c>
      <c r="G1045" s="141" t="str">
        <f t="shared" si="94"/>
        <v>0398</v>
      </c>
      <c r="H1045" s="141" t="s">
        <v>1645</v>
      </c>
      <c r="I1045" s="141" t="str">
        <f t="shared" si="92"/>
        <v>999</v>
      </c>
      <c r="J1045" s="141" t="s">
        <v>4327</v>
      </c>
      <c r="K1045" s="141">
        <v>1248</v>
      </c>
      <c r="L1045" s="141">
        <v>12</v>
      </c>
      <c r="M1045" s="141">
        <v>0</v>
      </c>
      <c r="N1045" s="141">
        <v>26000</v>
      </c>
      <c r="O1045" s="141" t="s">
        <v>4408</v>
      </c>
      <c r="P1045" s="141"/>
    </row>
    <row r="1046" spans="1:16" ht="25.5">
      <c r="A1046" s="141">
        <v>76807</v>
      </c>
      <c r="B1046" s="141" t="s">
        <v>4325</v>
      </c>
      <c r="C1046" s="142">
        <v>41201</v>
      </c>
      <c r="D1046" s="141">
        <v>431</v>
      </c>
      <c r="E1046" s="141" t="str">
        <f t="shared" si="91"/>
        <v>001</v>
      </c>
      <c r="F1046" s="141" t="s">
        <v>4326</v>
      </c>
      <c r="G1046" s="141" t="str">
        <f t="shared" si="94"/>
        <v>0398</v>
      </c>
      <c r="H1046" s="141" t="s">
        <v>1645</v>
      </c>
      <c r="I1046" s="141" t="str">
        <f t="shared" si="92"/>
        <v>999</v>
      </c>
      <c r="J1046" s="141" t="s">
        <v>4327</v>
      </c>
      <c r="K1046" s="141">
        <v>1249</v>
      </c>
      <c r="L1046" s="141">
        <v>1</v>
      </c>
      <c r="M1046" s="141">
        <v>0</v>
      </c>
      <c r="N1046" s="141">
        <v>8000</v>
      </c>
      <c r="O1046" s="141" t="s">
        <v>4353</v>
      </c>
      <c r="P1046" s="141" t="s">
        <v>4654</v>
      </c>
    </row>
    <row r="1047" spans="1:16" ht="25.5">
      <c r="A1047" s="141">
        <v>76807</v>
      </c>
      <c r="B1047" s="141" t="s">
        <v>4325</v>
      </c>
      <c r="C1047" s="142">
        <v>41201</v>
      </c>
      <c r="D1047" s="141">
        <v>431</v>
      </c>
      <c r="E1047" s="141" t="str">
        <f t="shared" si="91"/>
        <v>001</v>
      </c>
      <c r="F1047" s="141" t="s">
        <v>4326</v>
      </c>
      <c r="G1047" s="141" t="str">
        <f t="shared" si="94"/>
        <v>0398</v>
      </c>
      <c r="H1047" s="141" t="s">
        <v>1645</v>
      </c>
      <c r="I1047" s="141" t="str">
        <f t="shared" si="92"/>
        <v>999</v>
      </c>
      <c r="J1047" s="141" t="s">
        <v>4327</v>
      </c>
      <c r="K1047" s="141">
        <v>1250</v>
      </c>
      <c r="L1047" s="141">
        <v>4</v>
      </c>
      <c r="M1047" s="141">
        <v>0</v>
      </c>
      <c r="N1047" s="141">
        <v>24000</v>
      </c>
      <c r="O1047" s="141" t="s">
        <v>4357</v>
      </c>
      <c r="P1047" s="141" t="s">
        <v>4362</v>
      </c>
    </row>
    <row r="1048" spans="1:16" ht="25.5">
      <c r="A1048" s="141">
        <v>76807</v>
      </c>
      <c r="B1048" s="141" t="s">
        <v>4325</v>
      </c>
      <c r="C1048" s="142">
        <v>41201</v>
      </c>
      <c r="D1048" s="141">
        <v>431</v>
      </c>
      <c r="E1048" s="141" t="str">
        <f t="shared" si="91"/>
        <v>001</v>
      </c>
      <c r="F1048" s="141" t="s">
        <v>4326</v>
      </c>
      <c r="G1048" s="141" t="str">
        <f t="shared" si="94"/>
        <v>0398</v>
      </c>
      <c r="H1048" s="141" t="s">
        <v>1645</v>
      </c>
      <c r="I1048" s="141" t="str">
        <f t="shared" si="92"/>
        <v>999</v>
      </c>
      <c r="J1048" s="141" t="s">
        <v>4327</v>
      </c>
      <c r="K1048" s="141">
        <v>1251</v>
      </c>
      <c r="L1048" s="141">
        <v>2</v>
      </c>
      <c r="M1048" s="141">
        <v>0</v>
      </c>
      <c r="N1048" s="141">
        <v>18000</v>
      </c>
      <c r="O1048" s="141" t="s">
        <v>4357</v>
      </c>
      <c r="P1048" s="141" t="s">
        <v>4444</v>
      </c>
    </row>
    <row r="1049" spans="1:16" ht="25.5">
      <c r="A1049" s="141">
        <v>76807</v>
      </c>
      <c r="B1049" s="141" t="s">
        <v>4325</v>
      </c>
      <c r="C1049" s="142">
        <v>41201</v>
      </c>
      <c r="D1049" s="141">
        <v>431</v>
      </c>
      <c r="E1049" s="141" t="str">
        <f t="shared" si="91"/>
        <v>001</v>
      </c>
      <c r="F1049" s="141" t="s">
        <v>4326</v>
      </c>
      <c r="G1049" s="141" t="str">
        <f t="shared" si="94"/>
        <v>0398</v>
      </c>
      <c r="H1049" s="141" t="s">
        <v>1645</v>
      </c>
      <c r="I1049" s="141" t="str">
        <f t="shared" si="92"/>
        <v>999</v>
      </c>
      <c r="J1049" s="141" t="s">
        <v>4327</v>
      </c>
      <c r="K1049" s="141">
        <v>1252</v>
      </c>
      <c r="L1049" s="141">
        <v>8</v>
      </c>
      <c r="M1049" s="141">
        <v>0</v>
      </c>
      <c r="N1049" s="141">
        <v>93000</v>
      </c>
      <c r="O1049" s="141" t="s">
        <v>4334</v>
      </c>
      <c r="P1049" s="141" t="s">
        <v>4419</v>
      </c>
    </row>
    <row r="1050" spans="1:16" ht="25.5">
      <c r="A1050" s="141">
        <v>76807</v>
      </c>
      <c r="B1050" s="141" t="s">
        <v>4325</v>
      </c>
      <c r="C1050" s="142">
        <v>41201</v>
      </c>
      <c r="D1050" s="141">
        <v>431</v>
      </c>
      <c r="E1050" s="141" t="str">
        <f t="shared" si="91"/>
        <v>001</v>
      </c>
      <c r="F1050" s="141" t="s">
        <v>4326</v>
      </c>
      <c r="G1050" s="141" t="str">
        <f t="shared" si="94"/>
        <v>0398</v>
      </c>
      <c r="H1050" s="141" t="s">
        <v>1645</v>
      </c>
      <c r="I1050" s="141" t="str">
        <f t="shared" si="92"/>
        <v>999</v>
      </c>
      <c r="J1050" s="141" t="s">
        <v>4327</v>
      </c>
      <c r="K1050" s="141">
        <v>1253</v>
      </c>
      <c r="L1050" s="141">
        <v>7</v>
      </c>
      <c r="M1050" s="141">
        <v>0</v>
      </c>
      <c r="N1050" s="141">
        <v>23000</v>
      </c>
      <c r="O1050" s="141" t="s">
        <v>4334</v>
      </c>
      <c r="P1050" s="141" t="s">
        <v>4335</v>
      </c>
    </row>
    <row r="1051" spans="1:16" ht="25.5">
      <c r="A1051" s="141">
        <v>76807</v>
      </c>
      <c r="B1051" s="141" t="s">
        <v>4325</v>
      </c>
      <c r="C1051" s="142">
        <v>41201</v>
      </c>
      <c r="D1051" s="141">
        <v>431</v>
      </c>
      <c r="E1051" s="141" t="str">
        <f t="shared" si="91"/>
        <v>001</v>
      </c>
      <c r="F1051" s="141" t="s">
        <v>4326</v>
      </c>
      <c r="G1051" s="141" t="str">
        <f t="shared" si="94"/>
        <v>0398</v>
      </c>
      <c r="H1051" s="141" t="s">
        <v>1645</v>
      </c>
      <c r="I1051" s="141" t="str">
        <f t="shared" si="92"/>
        <v>999</v>
      </c>
      <c r="J1051" s="141" t="s">
        <v>4327</v>
      </c>
      <c r="K1051" s="141">
        <v>1254</v>
      </c>
      <c r="L1051" s="141">
        <v>1</v>
      </c>
      <c r="M1051" s="141">
        <v>0</v>
      </c>
      <c r="N1051" s="141">
        <v>33000</v>
      </c>
      <c r="O1051" s="141" t="s">
        <v>4337</v>
      </c>
      <c r="P1051" s="141" t="s">
        <v>4680</v>
      </c>
    </row>
    <row r="1052" spans="1:16" ht="25.5">
      <c r="A1052" s="141">
        <v>76807</v>
      </c>
      <c r="B1052" s="141" t="s">
        <v>4325</v>
      </c>
      <c r="C1052" s="142">
        <v>41201</v>
      </c>
      <c r="D1052" s="141">
        <v>431</v>
      </c>
      <c r="E1052" s="141" t="str">
        <f t="shared" si="91"/>
        <v>001</v>
      </c>
      <c r="F1052" s="141" t="s">
        <v>4326</v>
      </c>
      <c r="G1052" s="141" t="str">
        <f t="shared" si="94"/>
        <v>0398</v>
      </c>
      <c r="H1052" s="141" t="s">
        <v>1645</v>
      </c>
      <c r="I1052" s="141" t="str">
        <f t="shared" si="92"/>
        <v>999</v>
      </c>
      <c r="J1052" s="141" t="s">
        <v>4327</v>
      </c>
      <c r="K1052" s="141">
        <v>1255</v>
      </c>
      <c r="L1052" s="141">
        <v>1</v>
      </c>
      <c r="M1052" s="141">
        <v>0</v>
      </c>
      <c r="N1052" s="141">
        <v>6000</v>
      </c>
      <c r="O1052" s="141" t="s">
        <v>4407</v>
      </c>
      <c r="P1052" s="141"/>
    </row>
    <row r="1053" spans="1:16" ht="25.5">
      <c r="A1053" s="141">
        <v>76807</v>
      </c>
      <c r="B1053" s="141" t="s">
        <v>4325</v>
      </c>
      <c r="C1053" s="142">
        <v>41201</v>
      </c>
      <c r="D1053" s="141">
        <v>431</v>
      </c>
      <c r="E1053" s="141" t="str">
        <f t="shared" si="91"/>
        <v>001</v>
      </c>
      <c r="F1053" s="141" t="s">
        <v>4326</v>
      </c>
      <c r="G1053" s="141" t="str">
        <f t="shared" si="94"/>
        <v>0398</v>
      </c>
      <c r="H1053" s="141" t="s">
        <v>1645</v>
      </c>
      <c r="I1053" s="141" t="str">
        <f t="shared" si="92"/>
        <v>999</v>
      </c>
      <c r="J1053" s="141" t="s">
        <v>4327</v>
      </c>
      <c r="K1053" s="141">
        <v>1256</v>
      </c>
      <c r="L1053" s="141">
        <v>6</v>
      </c>
      <c r="M1053" s="141">
        <v>0</v>
      </c>
      <c r="N1053" s="141">
        <v>50000</v>
      </c>
      <c r="O1053" s="141" t="s">
        <v>4357</v>
      </c>
      <c r="P1053" s="141" t="s">
        <v>4417</v>
      </c>
    </row>
    <row r="1054" spans="1:16" ht="25.5">
      <c r="A1054" s="141">
        <v>76807</v>
      </c>
      <c r="B1054" s="141" t="s">
        <v>4325</v>
      </c>
      <c r="C1054" s="142">
        <v>41201</v>
      </c>
      <c r="D1054" s="141">
        <v>314</v>
      </c>
      <c r="E1054" s="141" t="str">
        <f t="shared" si="91"/>
        <v>001</v>
      </c>
      <c r="F1054" s="141" t="s">
        <v>4326</v>
      </c>
      <c r="G1054" s="141" t="str">
        <f>"0404"</f>
        <v>0404</v>
      </c>
      <c r="H1054" s="141" t="s">
        <v>1239</v>
      </c>
      <c r="I1054" s="141" t="str">
        <f t="shared" si="92"/>
        <v>999</v>
      </c>
      <c r="J1054" s="141" t="s">
        <v>4327</v>
      </c>
      <c r="K1054" s="141">
        <v>279</v>
      </c>
      <c r="L1054" s="141">
        <v>1</v>
      </c>
      <c r="M1054" s="141">
        <v>0</v>
      </c>
      <c r="N1054" s="141">
        <v>28000</v>
      </c>
      <c r="O1054" s="141" t="s">
        <v>4446</v>
      </c>
      <c r="P1054" s="141"/>
    </row>
    <row r="1055" spans="1:16" ht="25.5">
      <c r="A1055" s="141">
        <v>76807</v>
      </c>
      <c r="B1055" s="141" t="s">
        <v>4325</v>
      </c>
      <c r="C1055" s="142">
        <v>41201</v>
      </c>
      <c r="D1055" s="141">
        <v>314</v>
      </c>
      <c r="E1055" s="141" t="str">
        <f t="shared" si="91"/>
        <v>001</v>
      </c>
      <c r="F1055" s="141" t="s">
        <v>4326</v>
      </c>
      <c r="G1055" s="141" t="str">
        <f>"0404"</f>
        <v>0404</v>
      </c>
      <c r="H1055" s="141" t="s">
        <v>1239</v>
      </c>
      <c r="I1055" s="141" t="str">
        <f t="shared" si="92"/>
        <v>999</v>
      </c>
      <c r="J1055" s="141" t="s">
        <v>4327</v>
      </c>
      <c r="K1055" s="141">
        <v>280</v>
      </c>
      <c r="L1055" s="141">
        <v>6</v>
      </c>
      <c r="M1055" s="141">
        <v>0</v>
      </c>
      <c r="N1055" s="141">
        <v>14000</v>
      </c>
      <c r="O1055" s="141" t="s">
        <v>4339</v>
      </c>
      <c r="P1055" s="141" t="s">
        <v>4363</v>
      </c>
    </row>
    <row r="1056" spans="1:16" ht="25.5">
      <c r="A1056" s="141">
        <v>76807</v>
      </c>
      <c r="B1056" s="141" t="s">
        <v>4325</v>
      </c>
      <c r="C1056" s="142">
        <v>41201</v>
      </c>
      <c r="D1056" s="141">
        <v>315</v>
      </c>
      <c r="E1056" s="141" t="str">
        <f t="shared" si="91"/>
        <v>001</v>
      </c>
      <c r="F1056" s="141" t="s">
        <v>4326</v>
      </c>
      <c r="G1056" s="141" t="str">
        <f>"0405"</f>
        <v>0405</v>
      </c>
      <c r="H1056" s="141" t="s">
        <v>684</v>
      </c>
      <c r="I1056" s="141" t="str">
        <f t="shared" si="92"/>
        <v>999</v>
      </c>
      <c r="J1056" s="141" t="s">
        <v>4327</v>
      </c>
      <c r="K1056" s="141">
        <v>281</v>
      </c>
      <c r="L1056" s="141">
        <v>12</v>
      </c>
      <c r="M1056" s="141">
        <v>0</v>
      </c>
      <c r="N1056" s="141">
        <v>96000</v>
      </c>
      <c r="O1056" s="141" t="s">
        <v>4357</v>
      </c>
      <c r="P1056" s="141" t="s">
        <v>4549</v>
      </c>
    </row>
    <row r="1057" spans="1:16" ht="25.5">
      <c r="A1057" s="141">
        <v>76807</v>
      </c>
      <c r="B1057" s="141" t="s">
        <v>4325</v>
      </c>
      <c r="C1057" s="142">
        <v>41201</v>
      </c>
      <c r="D1057" s="141">
        <v>315</v>
      </c>
      <c r="E1057" s="141" t="str">
        <f t="shared" si="91"/>
        <v>001</v>
      </c>
      <c r="F1057" s="141" t="s">
        <v>4326</v>
      </c>
      <c r="G1057" s="141" t="str">
        <f>"0405"</f>
        <v>0405</v>
      </c>
      <c r="H1057" s="141" t="s">
        <v>684</v>
      </c>
      <c r="I1057" s="141" t="str">
        <f t="shared" si="92"/>
        <v>999</v>
      </c>
      <c r="J1057" s="141" t="s">
        <v>4327</v>
      </c>
      <c r="K1057" s="141">
        <v>282</v>
      </c>
      <c r="L1057" s="141">
        <v>2</v>
      </c>
      <c r="M1057" s="141">
        <v>0</v>
      </c>
      <c r="N1057" s="141">
        <v>11000</v>
      </c>
      <c r="O1057" s="141" t="s">
        <v>4681</v>
      </c>
      <c r="P1057" s="141"/>
    </row>
    <row r="1058" spans="1:16" ht="25.5">
      <c r="A1058" s="141">
        <v>76807</v>
      </c>
      <c r="B1058" s="141" t="s">
        <v>4325</v>
      </c>
      <c r="C1058" s="142">
        <v>41201</v>
      </c>
      <c r="D1058" s="141">
        <v>363</v>
      </c>
      <c r="E1058" s="141" t="str">
        <f t="shared" si="91"/>
        <v>001</v>
      </c>
      <c r="F1058" s="141" t="s">
        <v>4326</v>
      </c>
      <c r="G1058" s="141" t="str">
        <f t="shared" ref="G1058:G1064" si="95">"0410"</f>
        <v>0410</v>
      </c>
      <c r="H1058" s="141" t="s">
        <v>3019</v>
      </c>
      <c r="I1058" s="141" t="str">
        <f t="shared" si="92"/>
        <v>999</v>
      </c>
      <c r="J1058" s="141" t="s">
        <v>4327</v>
      </c>
      <c r="K1058" s="141">
        <v>766</v>
      </c>
      <c r="L1058" s="141">
        <v>1</v>
      </c>
      <c r="M1058" s="141">
        <v>0</v>
      </c>
      <c r="N1058" s="141">
        <v>82000</v>
      </c>
      <c r="O1058" s="141" t="s">
        <v>4328</v>
      </c>
      <c r="P1058" s="141" t="s">
        <v>4682</v>
      </c>
    </row>
    <row r="1059" spans="1:16" ht="25.5">
      <c r="A1059" s="141">
        <v>76807</v>
      </c>
      <c r="B1059" s="141" t="s">
        <v>4325</v>
      </c>
      <c r="C1059" s="142">
        <v>41201</v>
      </c>
      <c r="D1059" s="141">
        <v>363</v>
      </c>
      <c r="E1059" s="141" t="str">
        <f t="shared" si="91"/>
        <v>001</v>
      </c>
      <c r="F1059" s="141" t="s">
        <v>4326</v>
      </c>
      <c r="G1059" s="141" t="str">
        <f t="shared" si="95"/>
        <v>0410</v>
      </c>
      <c r="H1059" s="141" t="s">
        <v>3019</v>
      </c>
      <c r="I1059" s="141" t="str">
        <f t="shared" si="92"/>
        <v>999</v>
      </c>
      <c r="J1059" s="141" t="s">
        <v>4327</v>
      </c>
      <c r="K1059" s="141">
        <v>767</v>
      </c>
      <c r="L1059" s="141">
        <v>1</v>
      </c>
      <c r="M1059" s="141">
        <v>0</v>
      </c>
      <c r="N1059" s="141">
        <v>12000</v>
      </c>
      <c r="O1059" s="141" t="s">
        <v>4357</v>
      </c>
      <c r="P1059" s="141" t="s">
        <v>4588</v>
      </c>
    </row>
    <row r="1060" spans="1:16" ht="25.5">
      <c r="A1060" s="141">
        <v>76807</v>
      </c>
      <c r="B1060" s="141" t="s">
        <v>4325</v>
      </c>
      <c r="C1060" s="142">
        <v>41201</v>
      </c>
      <c r="D1060" s="141">
        <v>363</v>
      </c>
      <c r="E1060" s="141" t="str">
        <f t="shared" si="91"/>
        <v>001</v>
      </c>
      <c r="F1060" s="141" t="s">
        <v>4326</v>
      </c>
      <c r="G1060" s="141" t="str">
        <f t="shared" si="95"/>
        <v>0410</v>
      </c>
      <c r="H1060" s="141" t="s">
        <v>3019</v>
      </c>
      <c r="I1060" s="141" t="str">
        <f t="shared" si="92"/>
        <v>999</v>
      </c>
      <c r="J1060" s="141" t="s">
        <v>4327</v>
      </c>
      <c r="K1060" s="141">
        <v>768</v>
      </c>
      <c r="L1060" s="141">
        <v>5</v>
      </c>
      <c r="M1060" s="141">
        <v>0</v>
      </c>
      <c r="N1060" s="141">
        <v>72000</v>
      </c>
      <c r="O1060" s="141" t="s">
        <v>4357</v>
      </c>
      <c r="P1060" s="141" t="s">
        <v>4683</v>
      </c>
    </row>
    <row r="1061" spans="1:16" ht="25.5">
      <c r="A1061" s="141">
        <v>76807</v>
      </c>
      <c r="B1061" s="141" t="s">
        <v>4325</v>
      </c>
      <c r="C1061" s="142">
        <v>41201</v>
      </c>
      <c r="D1061" s="141">
        <v>363</v>
      </c>
      <c r="E1061" s="141" t="str">
        <f t="shared" si="91"/>
        <v>001</v>
      </c>
      <c r="F1061" s="141" t="s">
        <v>4326</v>
      </c>
      <c r="G1061" s="141" t="str">
        <f t="shared" si="95"/>
        <v>0410</v>
      </c>
      <c r="H1061" s="141" t="s">
        <v>3019</v>
      </c>
      <c r="I1061" s="141" t="str">
        <f t="shared" si="92"/>
        <v>999</v>
      </c>
      <c r="J1061" s="141" t="s">
        <v>4327</v>
      </c>
      <c r="K1061" s="141">
        <v>769</v>
      </c>
      <c r="L1061" s="141">
        <v>1</v>
      </c>
      <c r="M1061" s="141">
        <v>0</v>
      </c>
      <c r="N1061" s="141">
        <v>4000</v>
      </c>
      <c r="O1061" s="141" t="s">
        <v>4364</v>
      </c>
      <c r="P1061" s="141" t="s">
        <v>4354</v>
      </c>
    </row>
    <row r="1062" spans="1:16" ht="25.5">
      <c r="A1062" s="141">
        <v>76807</v>
      </c>
      <c r="B1062" s="141" t="s">
        <v>4325</v>
      </c>
      <c r="C1062" s="142">
        <v>41201</v>
      </c>
      <c r="D1062" s="141">
        <v>363</v>
      </c>
      <c r="E1062" s="141" t="str">
        <f t="shared" si="91"/>
        <v>001</v>
      </c>
      <c r="F1062" s="141" t="s">
        <v>4326</v>
      </c>
      <c r="G1062" s="141" t="str">
        <f t="shared" si="95"/>
        <v>0410</v>
      </c>
      <c r="H1062" s="141" t="s">
        <v>3019</v>
      </c>
      <c r="I1062" s="141" t="str">
        <f t="shared" si="92"/>
        <v>999</v>
      </c>
      <c r="J1062" s="141" t="s">
        <v>4327</v>
      </c>
      <c r="K1062" s="141">
        <v>770</v>
      </c>
      <c r="L1062" s="141">
        <v>1</v>
      </c>
      <c r="M1062" s="141">
        <v>0</v>
      </c>
      <c r="N1062" s="141">
        <v>44000</v>
      </c>
      <c r="O1062" s="141" t="s">
        <v>4353</v>
      </c>
      <c r="P1062" s="141" t="s">
        <v>4684</v>
      </c>
    </row>
    <row r="1063" spans="1:16" ht="25.5">
      <c r="A1063" s="141">
        <v>76807</v>
      </c>
      <c r="B1063" s="141" t="s">
        <v>4325</v>
      </c>
      <c r="C1063" s="142">
        <v>41201</v>
      </c>
      <c r="D1063" s="141">
        <v>363</v>
      </c>
      <c r="E1063" s="141" t="str">
        <f t="shared" si="91"/>
        <v>001</v>
      </c>
      <c r="F1063" s="141" t="s">
        <v>4326</v>
      </c>
      <c r="G1063" s="141" t="str">
        <f t="shared" si="95"/>
        <v>0410</v>
      </c>
      <c r="H1063" s="141" t="s">
        <v>3019</v>
      </c>
      <c r="I1063" s="141" t="str">
        <f t="shared" si="92"/>
        <v>999</v>
      </c>
      <c r="J1063" s="141" t="s">
        <v>4327</v>
      </c>
      <c r="K1063" s="141">
        <v>771</v>
      </c>
      <c r="L1063" s="141">
        <v>20</v>
      </c>
      <c r="M1063" s="141">
        <v>0</v>
      </c>
      <c r="N1063" s="141">
        <v>36000</v>
      </c>
      <c r="O1063" s="141" t="s">
        <v>4685</v>
      </c>
      <c r="P1063" s="141"/>
    </row>
    <row r="1064" spans="1:16" ht="25.5">
      <c r="A1064" s="141">
        <v>76807</v>
      </c>
      <c r="B1064" s="141" t="s">
        <v>4325</v>
      </c>
      <c r="C1064" s="142">
        <v>41201</v>
      </c>
      <c r="D1064" s="141">
        <v>363</v>
      </c>
      <c r="E1064" s="141" t="str">
        <f t="shared" si="91"/>
        <v>001</v>
      </c>
      <c r="F1064" s="141" t="s">
        <v>4326</v>
      </c>
      <c r="G1064" s="141" t="str">
        <f t="shared" si="95"/>
        <v>0410</v>
      </c>
      <c r="H1064" s="141" t="s">
        <v>3019</v>
      </c>
      <c r="I1064" s="141" t="str">
        <f t="shared" si="92"/>
        <v>999</v>
      </c>
      <c r="J1064" s="141" t="s">
        <v>4327</v>
      </c>
      <c r="K1064" s="141">
        <v>772</v>
      </c>
      <c r="L1064" s="141">
        <v>1</v>
      </c>
      <c r="M1064" s="141">
        <v>0</v>
      </c>
      <c r="N1064" s="141">
        <v>3000</v>
      </c>
      <c r="O1064" s="141" t="s">
        <v>4405</v>
      </c>
      <c r="P1064" s="141" t="s">
        <v>4372</v>
      </c>
    </row>
    <row r="1065" spans="1:16" ht="25.5">
      <c r="A1065" s="141">
        <v>76807</v>
      </c>
      <c r="B1065" s="141" t="s">
        <v>4325</v>
      </c>
      <c r="C1065" s="142">
        <v>41201</v>
      </c>
      <c r="D1065" s="141">
        <v>1271</v>
      </c>
      <c r="E1065" s="141" t="str">
        <f t="shared" si="91"/>
        <v>001</v>
      </c>
      <c r="F1065" s="141" t="s">
        <v>4326</v>
      </c>
      <c r="G1065" s="141" t="str">
        <f>"0411"</f>
        <v>0411</v>
      </c>
      <c r="H1065" s="141" t="s">
        <v>4143</v>
      </c>
      <c r="I1065" s="141" t="str">
        <f t="shared" si="92"/>
        <v>999</v>
      </c>
      <c r="J1065" s="141" t="s">
        <v>4327</v>
      </c>
      <c r="K1065" s="141">
        <v>3381</v>
      </c>
      <c r="L1065" s="141">
        <v>1</v>
      </c>
      <c r="M1065" s="141">
        <v>0</v>
      </c>
      <c r="N1065" s="141">
        <v>329000</v>
      </c>
      <c r="O1065" s="141" t="s">
        <v>4327</v>
      </c>
      <c r="P1065" s="141"/>
    </row>
    <row r="1066" spans="1:16" ht="25.5">
      <c r="A1066" s="141">
        <v>76807</v>
      </c>
      <c r="B1066" s="141" t="s">
        <v>4325</v>
      </c>
      <c r="C1066" s="142">
        <v>41201</v>
      </c>
      <c r="D1066" s="141">
        <v>1139</v>
      </c>
      <c r="E1066" s="141" t="str">
        <f t="shared" si="91"/>
        <v>001</v>
      </c>
      <c r="F1066" s="141" t="s">
        <v>4326</v>
      </c>
      <c r="G1066" s="141" t="str">
        <f t="shared" ref="G1066:G1072" si="96">"0424"</f>
        <v>0424</v>
      </c>
      <c r="H1066" s="141" t="s">
        <v>2390</v>
      </c>
      <c r="I1066" s="141" t="str">
        <f t="shared" si="92"/>
        <v>999</v>
      </c>
      <c r="J1066" s="141" t="s">
        <v>4327</v>
      </c>
      <c r="K1066" s="141">
        <v>2895</v>
      </c>
      <c r="L1066" s="141">
        <v>1</v>
      </c>
      <c r="M1066" s="141">
        <v>0</v>
      </c>
      <c r="N1066" s="141">
        <v>2000</v>
      </c>
      <c r="O1066" s="141" t="s">
        <v>4330</v>
      </c>
      <c r="P1066" s="141" t="s">
        <v>4443</v>
      </c>
    </row>
    <row r="1067" spans="1:16" ht="25.5">
      <c r="A1067" s="141">
        <v>76807</v>
      </c>
      <c r="B1067" s="141" t="s">
        <v>4325</v>
      </c>
      <c r="C1067" s="142">
        <v>41201</v>
      </c>
      <c r="D1067" s="141">
        <v>1139</v>
      </c>
      <c r="E1067" s="141" t="str">
        <f t="shared" si="91"/>
        <v>001</v>
      </c>
      <c r="F1067" s="141" t="s">
        <v>4326</v>
      </c>
      <c r="G1067" s="141" t="str">
        <f t="shared" si="96"/>
        <v>0424</v>
      </c>
      <c r="H1067" s="141" t="s">
        <v>2390</v>
      </c>
      <c r="I1067" s="141" t="str">
        <f t="shared" si="92"/>
        <v>999</v>
      </c>
      <c r="J1067" s="141" t="s">
        <v>4327</v>
      </c>
      <c r="K1067" s="141">
        <v>2896</v>
      </c>
      <c r="L1067" s="141">
        <v>1</v>
      </c>
      <c r="M1067" s="141">
        <v>0</v>
      </c>
      <c r="N1067" s="141">
        <v>2000</v>
      </c>
      <c r="O1067" s="141" t="s">
        <v>4330</v>
      </c>
      <c r="P1067" s="141" t="s">
        <v>4443</v>
      </c>
    </row>
    <row r="1068" spans="1:16" ht="25.5">
      <c r="A1068" s="141">
        <v>76807</v>
      </c>
      <c r="B1068" s="141" t="s">
        <v>4325</v>
      </c>
      <c r="C1068" s="142">
        <v>41201</v>
      </c>
      <c r="D1068" s="141">
        <v>1139</v>
      </c>
      <c r="E1068" s="141" t="str">
        <f t="shared" si="91"/>
        <v>001</v>
      </c>
      <c r="F1068" s="141" t="s">
        <v>4326</v>
      </c>
      <c r="G1068" s="141" t="str">
        <f t="shared" si="96"/>
        <v>0424</v>
      </c>
      <c r="H1068" s="141" t="s">
        <v>2390</v>
      </c>
      <c r="I1068" s="141" t="str">
        <f t="shared" si="92"/>
        <v>999</v>
      </c>
      <c r="J1068" s="141" t="s">
        <v>4327</v>
      </c>
      <c r="K1068" s="141">
        <v>2897</v>
      </c>
      <c r="L1068" s="141">
        <v>1</v>
      </c>
      <c r="M1068" s="141">
        <v>0</v>
      </c>
      <c r="N1068" s="141">
        <v>3000</v>
      </c>
      <c r="O1068" s="141" t="s">
        <v>4351</v>
      </c>
      <c r="P1068" s="141" t="s">
        <v>4519</v>
      </c>
    </row>
    <row r="1069" spans="1:16" ht="25.5">
      <c r="A1069" s="141">
        <v>76807</v>
      </c>
      <c r="B1069" s="141" t="s">
        <v>4325</v>
      </c>
      <c r="C1069" s="142">
        <v>41201</v>
      </c>
      <c r="D1069" s="141">
        <v>1139</v>
      </c>
      <c r="E1069" s="141" t="str">
        <f t="shared" si="91"/>
        <v>001</v>
      </c>
      <c r="F1069" s="141" t="s">
        <v>4326</v>
      </c>
      <c r="G1069" s="141" t="str">
        <f t="shared" si="96"/>
        <v>0424</v>
      </c>
      <c r="H1069" s="141" t="s">
        <v>2390</v>
      </c>
      <c r="I1069" s="141" t="str">
        <f t="shared" si="92"/>
        <v>999</v>
      </c>
      <c r="J1069" s="141" t="s">
        <v>4327</v>
      </c>
      <c r="K1069" s="141">
        <v>2898</v>
      </c>
      <c r="L1069" s="141">
        <v>1</v>
      </c>
      <c r="M1069" s="141">
        <v>0</v>
      </c>
      <c r="N1069" s="141">
        <v>8000</v>
      </c>
      <c r="O1069" s="141" t="s">
        <v>4686</v>
      </c>
      <c r="P1069" s="141" t="s">
        <v>4687</v>
      </c>
    </row>
    <row r="1070" spans="1:16" ht="25.5">
      <c r="A1070" s="141">
        <v>76807</v>
      </c>
      <c r="B1070" s="141" t="s">
        <v>4325</v>
      </c>
      <c r="C1070" s="142">
        <v>41201</v>
      </c>
      <c r="D1070" s="141">
        <v>1139</v>
      </c>
      <c r="E1070" s="141" t="str">
        <f t="shared" si="91"/>
        <v>001</v>
      </c>
      <c r="F1070" s="141" t="s">
        <v>4326</v>
      </c>
      <c r="G1070" s="141" t="str">
        <f t="shared" si="96"/>
        <v>0424</v>
      </c>
      <c r="H1070" s="141" t="s">
        <v>2390</v>
      </c>
      <c r="I1070" s="141" t="str">
        <f t="shared" si="92"/>
        <v>999</v>
      </c>
      <c r="J1070" s="141" t="s">
        <v>4327</v>
      </c>
      <c r="K1070" s="141">
        <v>2944</v>
      </c>
      <c r="L1070" s="141">
        <v>6</v>
      </c>
      <c r="M1070" s="141">
        <v>0</v>
      </c>
      <c r="N1070" s="141">
        <v>14000</v>
      </c>
      <c r="O1070" s="141" t="s">
        <v>4334</v>
      </c>
      <c r="P1070" s="141" t="s">
        <v>4340</v>
      </c>
    </row>
    <row r="1071" spans="1:16" ht="25.5">
      <c r="A1071" s="141">
        <v>76807</v>
      </c>
      <c r="B1071" s="141" t="s">
        <v>4325</v>
      </c>
      <c r="C1071" s="142">
        <v>41201</v>
      </c>
      <c r="D1071" s="141">
        <v>1139</v>
      </c>
      <c r="E1071" s="141" t="str">
        <f t="shared" si="91"/>
        <v>001</v>
      </c>
      <c r="F1071" s="141" t="s">
        <v>4326</v>
      </c>
      <c r="G1071" s="141" t="str">
        <f t="shared" si="96"/>
        <v>0424</v>
      </c>
      <c r="H1071" s="141" t="s">
        <v>2390</v>
      </c>
      <c r="I1071" s="141" t="str">
        <f t="shared" si="92"/>
        <v>999</v>
      </c>
      <c r="J1071" s="141" t="s">
        <v>4327</v>
      </c>
      <c r="K1071" s="141">
        <v>2956</v>
      </c>
      <c r="L1071" s="141">
        <v>1</v>
      </c>
      <c r="M1071" s="141">
        <v>0</v>
      </c>
      <c r="N1071" s="141">
        <v>76000</v>
      </c>
      <c r="O1071" s="141" t="s">
        <v>4688</v>
      </c>
      <c r="P1071" s="141"/>
    </row>
    <row r="1072" spans="1:16" ht="25.5">
      <c r="A1072" s="141">
        <v>76807</v>
      </c>
      <c r="B1072" s="141" t="s">
        <v>4325</v>
      </c>
      <c r="C1072" s="142">
        <v>41201</v>
      </c>
      <c r="D1072" s="141">
        <v>1139</v>
      </c>
      <c r="E1072" s="141" t="str">
        <f t="shared" si="91"/>
        <v>001</v>
      </c>
      <c r="F1072" s="141" t="s">
        <v>4326</v>
      </c>
      <c r="G1072" s="141" t="str">
        <f t="shared" si="96"/>
        <v>0424</v>
      </c>
      <c r="H1072" s="141" t="s">
        <v>2390</v>
      </c>
      <c r="I1072" s="141" t="str">
        <f t="shared" si="92"/>
        <v>999</v>
      </c>
      <c r="J1072" s="141" t="s">
        <v>4327</v>
      </c>
      <c r="K1072" s="141">
        <v>2958</v>
      </c>
      <c r="L1072" s="141">
        <v>1</v>
      </c>
      <c r="M1072" s="141">
        <v>0</v>
      </c>
      <c r="N1072" s="141">
        <v>5000</v>
      </c>
      <c r="O1072" s="141" t="s">
        <v>4659</v>
      </c>
      <c r="P1072" s="141" t="s">
        <v>4689</v>
      </c>
    </row>
    <row r="1073" spans="1:16" ht="25.5">
      <c r="A1073" s="141">
        <v>76807</v>
      </c>
      <c r="B1073" s="141" t="s">
        <v>4325</v>
      </c>
      <c r="C1073" s="142">
        <v>41201</v>
      </c>
      <c r="D1073" s="141">
        <v>1145</v>
      </c>
      <c r="E1073" s="141" t="str">
        <f t="shared" si="91"/>
        <v>001</v>
      </c>
      <c r="F1073" s="141" t="s">
        <v>4326</v>
      </c>
      <c r="G1073" s="141" t="str">
        <f>"0425"</f>
        <v>0425</v>
      </c>
      <c r="H1073" s="141" t="s">
        <v>2362</v>
      </c>
      <c r="I1073" s="141" t="str">
        <f t="shared" si="92"/>
        <v>999</v>
      </c>
      <c r="J1073" s="141" t="s">
        <v>4327</v>
      </c>
      <c r="K1073" s="141">
        <v>2908</v>
      </c>
      <c r="L1073" s="141">
        <v>1</v>
      </c>
      <c r="M1073" s="141">
        <v>0</v>
      </c>
      <c r="N1073" s="141">
        <v>14000</v>
      </c>
      <c r="O1073" s="141" t="s">
        <v>4463</v>
      </c>
      <c r="P1073" s="141" t="s">
        <v>4389</v>
      </c>
    </row>
    <row r="1074" spans="1:16" ht="25.5">
      <c r="A1074" s="141">
        <v>76807</v>
      </c>
      <c r="B1074" s="141" t="s">
        <v>4325</v>
      </c>
      <c r="C1074" s="142">
        <v>41201</v>
      </c>
      <c r="D1074" s="141">
        <v>1145</v>
      </c>
      <c r="E1074" s="141" t="str">
        <f t="shared" si="91"/>
        <v>001</v>
      </c>
      <c r="F1074" s="141" t="s">
        <v>4326</v>
      </c>
      <c r="G1074" s="141" t="str">
        <f>"0425"</f>
        <v>0425</v>
      </c>
      <c r="H1074" s="141" t="s">
        <v>2362</v>
      </c>
      <c r="I1074" s="141" t="str">
        <f t="shared" si="92"/>
        <v>999</v>
      </c>
      <c r="J1074" s="141" t="s">
        <v>4327</v>
      </c>
      <c r="K1074" s="141">
        <v>2909</v>
      </c>
      <c r="L1074" s="141">
        <v>1</v>
      </c>
      <c r="M1074" s="141">
        <v>0</v>
      </c>
      <c r="N1074" s="141">
        <v>2000</v>
      </c>
      <c r="O1074" s="141" t="s">
        <v>4330</v>
      </c>
      <c r="P1074" s="141" t="s">
        <v>4690</v>
      </c>
    </row>
    <row r="1075" spans="1:16" ht="25.5">
      <c r="A1075" s="141">
        <v>76807</v>
      </c>
      <c r="B1075" s="141" t="s">
        <v>4325</v>
      </c>
      <c r="C1075" s="142">
        <v>41201</v>
      </c>
      <c r="D1075" s="141">
        <v>1145</v>
      </c>
      <c r="E1075" s="141" t="str">
        <f t="shared" si="91"/>
        <v>001</v>
      </c>
      <c r="F1075" s="141" t="s">
        <v>4326</v>
      </c>
      <c r="G1075" s="141" t="str">
        <f>"0425"</f>
        <v>0425</v>
      </c>
      <c r="H1075" s="141" t="s">
        <v>2362</v>
      </c>
      <c r="I1075" s="141" t="str">
        <f t="shared" si="92"/>
        <v>999</v>
      </c>
      <c r="J1075" s="141" t="s">
        <v>4327</v>
      </c>
      <c r="K1075" s="141">
        <v>2946</v>
      </c>
      <c r="L1075" s="141">
        <v>1</v>
      </c>
      <c r="M1075" s="141">
        <v>0</v>
      </c>
      <c r="N1075" s="141">
        <v>3000</v>
      </c>
      <c r="O1075" s="141" t="s">
        <v>4334</v>
      </c>
      <c r="P1075" s="141" t="s">
        <v>4335</v>
      </c>
    </row>
    <row r="1076" spans="1:16" ht="25.5">
      <c r="A1076" s="141">
        <v>76807</v>
      </c>
      <c r="B1076" s="141" t="s">
        <v>4325</v>
      </c>
      <c r="C1076" s="142">
        <v>41201</v>
      </c>
      <c r="D1076" s="141">
        <v>333</v>
      </c>
      <c r="E1076" s="141" t="str">
        <f t="shared" si="91"/>
        <v>001</v>
      </c>
      <c r="F1076" s="141" t="s">
        <v>4326</v>
      </c>
      <c r="G1076" s="141" t="str">
        <f t="shared" ref="G1076:G1081" si="97">"0426"</f>
        <v>0426</v>
      </c>
      <c r="H1076" s="141" t="s">
        <v>694</v>
      </c>
      <c r="I1076" s="141" t="str">
        <f t="shared" si="92"/>
        <v>999</v>
      </c>
      <c r="J1076" s="141" t="s">
        <v>4327</v>
      </c>
      <c r="K1076" s="141">
        <v>439</v>
      </c>
      <c r="L1076" s="141">
        <v>1</v>
      </c>
      <c r="M1076" s="141">
        <v>0</v>
      </c>
      <c r="N1076" s="141">
        <v>4000</v>
      </c>
      <c r="O1076" s="141" t="s">
        <v>4330</v>
      </c>
      <c r="P1076" s="141" t="s">
        <v>4348</v>
      </c>
    </row>
    <row r="1077" spans="1:16" ht="25.5">
      <c r="A1077" s="141">
        <v>76807</v>
      </c>
      <c r="B1077" s="141" t="s">
        <v>4325</v>
      </c>
      <c r="C1077" s="142">
        <v>41201</v>
      </c>
      <c r="D1077" s="141">
        <v>333</v>
      </c>
      <c r="E1077" s="141" t="str">
        <f t="shared" si="91"/>
        <v>001</v>
      </c>
      <c r="F1077" s="141" t="s">
        <v>4326</v>
      </c>
      <c r="G1077" s="141" t="str">
        <f t="shared" si="97"/>
        <v>0426</v>
      </c>
      <c r="H1077" s="141" t="s">
        <v>694</v>
      </c>
      <c r="I1077" s="141" t="str">
        <f t="shared" si="92"/>
        <v>999</v>
      </c>
      <c r="J1077" s="141" t="s">
        <v>4327</v>
      </c>
      <c r="K1077" s="141">
        <v>440</v>
      </c>
      <c r="L1077" s="141">
        <v>1</v>
      </c>
      <c r="M1077" s="141">
        <v>0</v>
      </c>
      <c r="N1077" s="141">
        <v>4000</v>
      </c>
      <c r="O1077" s="141" t="s">
        <v>4422</v>
      </c>
      <c r="P1077" s="141" t="s">
        <v>4691</v>
      </c>
    </row>
    <row r="1078" spans="1:16" ht="25.5">
      <c r="A1078" s="141">
        <v>76807</v>
      </c>
      <c r="B1078" s="141" t="s">
        <v>4325</v>
      </c>
      <c r="C1078" s="142">
        <v>41201</v>
      </c>
      <c r="D1078" s="141">
        <v>333</v>
      </c>
      <c r="E1078" s="141" t="str">
        <f t="shared" si="91"/>
        <v>001</v>
      </c>
      <c r="F1078" s="141" t="s">
        <v>4326</v>
      </c>
      <c r="G1078" s="141" t="str">
        <f t="shared" si="97"/>
        <v>0426</v>
      </c>
      <c r="H1078" s="141" t="s">
        <v>694</v>
      </c>
      <c r="I1078" s="141" t="str">
        <f t="shared" si="92"/>
        <v>999</v>
      </c>
      <c r="J1078" s="141" t="s">
        <v>4327</v>
      </c>
      <c r="K1078" s="141">
        <v>441</v>
      </c>
      <c r="L1078" s="141">
        <v>4</v>
      </c>
      <c r="M1078" s="141">
        <v>0</v>
      </c>
      <c r="N1078" s="141">
        <v>12000</v>
      </c>
      <c r="O1078" s="141" t="s">
        <v>4334</v>
      </c>
      <c r="P1078" s="141" t="s">
        <v>4335</v>
      </c>
    </row>
    <row r="1079" spans="1:16" ht="25.5">
      <c r="A1079" s="141">
        <v>76807</v>
      </c>
      <c r="B1079" s="141" t="s">
        <v>4325</v>
      </c>
      <c r="C1079" s="142">
        <v>41201</v>
      </c>
      <c r="D1079" s="141">
        <v>333</v>
      </c>
      <c r="E1079" s="141" t="str">
        <f t="shared" si="91"/>
        <v>001</v>
      </c>
      <c r="F1079" s="141" t="s">
        <v>4326</v>
      </c>
      <c r="G1079" s="141" t="str">
        <f t="shared" si="97"/>
        <v>0426</v>
      </c>
      <c r="H1079" s="141" t="s">
        <v>694</v>
      </c>
      <c r="I1079" s="141" t="str">
        <f t="shared" si="92"/>
        <v>999</v>
      </c>
      <c r="J1079" s="141" t="s">
        <v>4327</v>
      </c>
      <c r="K1079" s="141">
        <v>442</v>
      </c>
      <c r="L1079" s="141">
        <v>1</v>
      </c>
      <c r="M1079" s="141">
        <v>0</v>
      </c>
      <c r="N1079" s="141">
        <v>2000</v>
      </c>
      <c r="O1079" s="141" t="s">
        <v>4334</v>
      </c>
      <c r="P1079" s="141" t="s">
        <v>4340</v>
      </c>
    </row>
    <row r="1080" spans="1:16" ht="25.5">
      <c r="A1080" s="141">
        <v>76807</v>
      </c>
      <c r="B1080" s="141" t="s">
        <v>4325</v>
      </c>
      <c r="C1080" s="142">
        <v>41201</v>
      </c>
      <c r="D1080" s="141">
        <v>333</v>
      </c>
      <c r="E1080" s="141" t="str">
        <f t="shared" si="91"/>
        <v>001</v>
      </c>
      <c r="F1080" s="141" t="s">
        <v>4326</v>
      </c>
      <c r="G1080" s="141" t="str">
        <f t="shared" si="97"/>
        <v>0426</v>
      </c>
      <c r="H1080" s="141" t="s">
        <v>694</v>
      </c>
      <c r="I1080" s="141" t="str">
        <f t="shared" si="92"/>
        <v>999</v>
      </c>
      <c r="J1080" s="141" t="s">
        <v>4327</v>
      </c>
      <c r="K1080" s="141">
        <v>443</v>
      </c>
      <c r="L1080" s="141">
        <v>1</v>
      </c>
      <c r="M1080" s="141">
        <v>0</v>
      </c>
      <c r="N1080" s="141">
        <v>4000</v>
      </c>
      <c r="O1080" s="141" t="s">
        <v>4692</v>
      </c>
      <c r="P1080" s="141"/>
    </row>
    <row r="1081" spans="1:16" ht="25.5">
      <c r="A1081" s="141">
        <v>76807</v>
      </c>
      <c r="B1081" s="141" t="s">
        <v>4325</v>
      </c>
      <c r="C1081" s="142">
        <v>41201</v>
      </c>
      <c r="D1081" s="141">
        <v>333</v>
      </c>
      <c r="E1081" s="141" t="str">
        <f t="shared" si="91"/>
        <v>001</v>
      </c>
      <c r="F1081" s="141" t="s">
        <v>4326</v>
      </c>
      <c r="G1081" s="141" t="str">
        <f t="shared" si="97"/>
        <v>0426</v>
      </c>
      <c r="H1081" s="141" t="s">
        <v>694</v>
      </c>
      <c r="I1081" s="141" t="str">
        <f t="shared" si="92"/>
        <v>999</v>
      </c>
      <c r="J1081" s="141" t="s">
        <v>4327</v>
      </c>
      <c r="K1081" s="141">
        <v>444</v>
      </c>
      <c r="L1081" s="141">
        <v>1</v>
      </c>
      <c r="M1081" s="141">
        <v>0</v>
      </c>
      <c r="N1081" s="141">
        <v>4000</v>
      </c>
      <c r="O1081" s="141" t="s">
        <v>4692</v>
      </c>
      <c r="P1081" s="141"/>
    </row>
    <row r="1082" spans="1:16" ht="25.5">
      <c r="A1082" s="141">
        <v>76807</v>
      </c>
      <c r="B1082" s="141" t="s">
        <v>4325</v>
      </c>
      <c r="C1082" s="142">
        <v>41201</v>
      </c>
      <c r="D1082" s="141">
        <v>1136</v>
      </c>
      <c r="E1082" s="141" t="str">
        <f t="shared" si="91"/>
        <v>001</v>
      </c>
      <c r="F1082" s="141" t="s">
        <v>4326</v>
      </c>
      <c r="G1082" s="141" t="str">
        <f>"0427"</f>
        <v>0427</v>
      </c>
      <c r="H1082" s="141" t="s">
        <v>2344</v>
      </c>
      <c r="I1082" s="141" t="str">
        <f t="shared" si="92"/>
        <v>999</v>
      </c>
      <c r="J1082" s="141" t="s">
        <v>4327</v>
      </c>
      <c r="K1082" s="141">
        <v>2889</v>
      </c>
      <c r="L1082" s="141">
        <v>1</v>
      </c>
      <c r="M1082" s="141">
        <v>0</v>
      </c>
      <c r="N1082" s="141">
        <v>2000</v>
      </c>
      <c r="O1082" s="141" t="s">
        <v>4330</v>
      </c>
      <c r="P1082" s="141" t="s">
        <v>4356</v>
      </c>
    </row>
    <row r="1083" spans="1:16" ht="25.5">
      <c r="A1083" s="141">
        <v>76807</v>
      </c>
      <c r="B1083" s="141" t="s">
        <v>4325</v>
      </c>
      <c r="C1083" s="142">
        <v>41201</v>
      </c>
      <c r="D1083" s="141">
        <v>1136</v>
      </c>
      <c r="E1083" s="141" t="str">
        <f t="shared" si="91"/>
        <v>001</v>
      </c>
      <c r="F1083" s="141" t="s">
        <v>4326</v>
      </c>
      <c r="G1083" s="141" t="str">
        <f>"0427"</f>
        <v>0427</v>
      </c>
      <c r="H1083" s="141" t="s">
        <v>2344</v>
      </c>
      <c r="I1083" s="141" t="str">
        <f t="shared" si="92"/>
        <v>999</v>
      </c>
      <c r="J1083" s="141" t="s">
        <v>4327</v>
      </c>
      <c r="K1083" s="141">
        <v>2890</v>
      </c>
      <c r="L1083" s="141">
        <v>1</v>
      </c>
      <c r="M1083" s="141">
        <v>0</v>
      </c>
      <c r="N1083" s="141">
        <v>31000</v>
      </c>
      <c r="O1083" s="141" t="s">
        <v>4463</v>
      </c>
      <c r="P1083" s="141" t="s">
        <v>4693</v>
      </c>
    </row>
    <row r="1084" spans="1:16" ht="25.5">
      <c r="A1084" s="141">
        <v>76807</v>
      </c>
      <c r="B1084" s="141" t="s">
        <v>4325</v>
      </c>
      <c r="C1084" s="142">
        <v>41201</v>
      </c>
      <c r="D1084" s="141">
        <v>1137</v>
      </c>
      <c r="E1084" s="141" t="str">
        <f t="shared" si="91"/>
        <v>001</v>
      </c>
      <c r="F1084" s="141" t="s">
        <v>4326</v>
      </c>
      <c r="G1084" s="141" t="str">
        <f>"0428"</f>
        <v>0428</v>
      </c>
      <c r="H1084" s="141" t="s">
        <v>2346</v>
      </c>
      <c r="I1084" s="141" t="str">
        <f t="shared" si="92"/>
        <v>999</v>
      </c>
      <c r="J1084" s="141" t="s">
        <v>4327</v>
      </c>
      <c r="K1084" s="141">
        <v>2891</v>
      </c>
      <c r="L1084" s="141">
        <v>1</v>
      </c>
      <c r="M1084" s="141">
        <v>0</v>
      </c>
      <c r="N1084" s="141">
        <v>17000</v>
      </c>
      <c r="O1084" s="141" t="s">
        <v>4328</v>
      </c>
      <c r="P1084" s="141" t="s">
        <v>4694</v>
      </c>
    </row>
    <row r="1085" spans="1:16" ht="25.5">
      <c r="A1085" s="141">
        <v>76807</v>
      </c>
      <c r="B1085" s="141" t="s">
        <v>4325</v>
      </c>
      <c r="C1085" s="142">
        <v>41201</v>
      </c>
      <c r="D1085" s="141">
        <v>1137</v>
      </c>
      <c r="E1085" s="141" t="str">
        <f t="shared" si="91"/>
        <v>001</v>
      </c>
      <c r="F1085" s="141" t="s">
        <v>4326</v>
      </c>
      <c r="G1085" s="141" t="str">
        <f>"0428"</f>
        <v>0428</v>
      </c>
      <c r="H1085" s="141" t="s">
        <v>2346</v>
      </c>
      <c r="I1085" s="141" t="str">
        <f t="shared" si="92"/>
        <v>999</v>
      </c>
      <c r="J1085" s="141" t="s">
        <v>4327</v>
      </c>
      <c r="K1085" s="141">
        <v>2892</v>
      </c>
      <c r="L1085" s="141">
        <v>1</v>
      </c>
      <c r="M1085" s="141">
        <v>0</v>
      </c>
      <c r="N1085" s="141">
        <v>2000</v>
      </c>
      <c r="O1085" s="141" t="s">
        <v>4330</v>
      </c>
      <c r="P1085" s="141" t="s">
        <v>4356</v>
      </c>
    </row>
    <row r="1086" spans="1:16" ht="25.5">
      <c r="A1086" s="141">
        <v>76807</v>
      </c>
      <c r="B1086" s="141" t="s">
        <v>4325</v>
      </c>
      <c r="C1086" s="142">
        <v>41201</v>
      </c>
      <c r="D1086" s="141">
        <v>1137</v>
      </c>
      <c r="E1086" s="141" t="str">
        <f t="shared" si="91"/>
        <v>001</v>
      </c>
      <c r="F1086" s="141" t="s">
        <v>4326</v>
      </c>
      <c r="G1086" s="141" t="str">
        <f>"0428"</f>
        <v>0428</v>
      </c>
      <c r="H1086" s="141" t="s">
        <v>2346</v>
      </c>
      <c r="I1086" s="141" t="str">
        <f t="shared" si="92"/>
        <v>999</v>
      </c>
      <c r="J1086" s="141" t="s">
        <v>4327</v>
      </c>
      <c r="K1086" s="141">
        <v>2943</v>
      </c>
      <c r="L1086" s="141">
        <v>4</v>
      </c>
      <c r="M1086" s="141">
        <v>0</v>
      </c>
      <c r="N1086" s="141">
        <v>9000</v>
      </c>
      <c r="O1086" s="141" t="s">
        <v>4334</v>
      </c>
      <c r="P1086" s="141" t="s">
        <v>4340</v>
      </c>
    </row>
    <row r="1087" spans="1:16" ht="25.5">
      <c r="A1087" s="141">
        <v>76807</v>
      </c>
      <c r="B1087" s="141" t="s">
        <v>4325</v>
      </c>
      <c r="C1087" s="142">
        <v>41201</v>
      </c>
      <c r="D1087" s="141">
        <v>1137</v>
      </c>
      <c r="E1087" s="141" t="str">
        <f t="shared" si="91"/>
        <v>001</v>
      </c>
      <c r="F1087" s="141" t="s">
        <v>4326</v>
      </c>
      <c r="G1087" s="141" t="str">
        <f>"0428"</f>
        <v>0428</v>
      </c>
      <c r="H1087" s="141" t="s">
        <v>2346</v>
      </c>
      <c r="I1087" s="141" t="str">
        <f t="shared" si="92"/>
        <v>999</v>
      </c>
      <c r="J1087" s="141" t="s">
        <v>4327</v>
      </c>
      <c r="K1087" s="141">
        <v>2959</v>
      </c>
      <c r="L1087" s="141">
        <v>1</v>
      </c>
      <c r="M1087" s="141">
        <v>0</v>
      </c>
      <c r="N1087" s="141">
        <v>1000</v>
      </c>
      <c r="O1087" s="141" t="s">
        <v>4659</v>
      </c>
      <c r="P1087" s="141" t="s">
        <v>4695</v>
      </c>
    </row>
    <row r="1088" spans="1:16" ht="25.5">
      <c r="A1088" s="141">
        <v>76807</v>
      </c>
      <c r="B1088" s="141" t="s">
        <v>4325</v>
      </c>
      <c r="C1088" s="142">
        <v>41201</v>
      </c>
      <c r="D1088" s="141">
        <v>1171</v>
      </c>
      <c r="E1088" s="141" t="str">
        <f t="shared" si="91"/>
        <v>001</v>
      </c>
      <c r="F1088" s="141" t="s">
        <v>4326</v>
      </c>
      <c r="G1088" s="141" t="str">
        <f>"0429"</f>
        <v>0429</v>
      </c>
      <c r="H1088" s="141" t="s">
        <v>1071</v>
      </c>
      <c r="I1088" s="141" t="str">
        <f t="shared" si="92"/>
        <v>999</v>
      </c>
      <c r="J1088" s="141" t="s">
        <v>4327</v>
      </c>
      <c r="K1088" s="141">
        <v>3063</v>
      </c>
      <c r="L1088" s="141">
        <v>1</v>
      </c>
      <c r="M1088" s="141">
        <v>0</v>
      </c>
      <c r="N1088" s="141">
        <v>13000</v>
      </c>
      <c r="O1088" s="141" t="s">
        <v>4463</v>
      </c>
      <c r="P1088" s="141" t="s">
        <v>4390</v>
      </c>
    </row>
    <row r="1089" spans="1:16" ht="25.5">
      <c r="A1089" s="141">
        <v>76807</v>
      </c>
      <c r="B1089" s="141" t="s">
        <v>4325</v>
      </c>
      <c r="C1089" s="142">
        <v>41201</v>
      </c>
      <c r="D1089" s="141">
        <v>1171</v>
      </c>
      <c r="E1089" s="141" t="str">
        <f t="shared" si="91"/>
        <v>001</v>
      </c>
      <c r="F1089" s="141" t="s">
        <v>4326</v>
      </c>
      <c r="G1089" s="141" t="str">
        <f>"0429"</f>
        <v>0429</v>
      </c>
      <c r="H1089" s="141" t="s">
        <v>1071</v>
      </c>
      <c r="I1089" s="141" t="str">
        <f t="shared" si="92"/>
        <v>999</v>
      </c>
      <c r="J1089" s="141" t="s">
        <v>4327</v>
      </c>
      <c r="K1089" s="141">
        <v>3064</v>
      </c>
      <c r="L1089" s="141">
        <v>1</v>
      </c>
      <c r="M1089" s="141">
        <v>0</v>
      </c>
      <c r="N1089" s="141">
        <v>15000</v>
      </c>
      <c r="O1089" s="141" t="s">
        <v>4328</v>
      </c>
      <c r="P1089" s="141" t="s">
        <v>4696</v>
      </c>
    </row>
    <row r="1090" spans="1:16" ht="25.5">
      <c r="A1090" s="141">
        <v>76807</v>
      </c>
      <c r="B1090" s="141" t="s">
        <v>4325</v>
      </c>
      <c r="C1090" s="142">
        <v>41201</v>
      </c>
      <c r="D1090" s="141">
        <v>471</v>
      </c>
      <c r="E1090" s="141" t="str">
        <f t="shared" ref="E1090:E1153" si="98">"001"</f>
        <v>001</v>
      </c>
      <c r="F1090" s="141" t="s">
        <v>4326</v>
      </c>
      <c r="G1090" s="141" t="str">
        <f t="shared" ref="G1090:G1095" si="99">"0430"</f>
        <v>0430</v>
      </c>
      <c r="H1090" s="141" t="s">
        <v>4697</v>
      </c>
      <c r="I1090" s="141" t="str">
        <f t="shared" ref="I1090:I1153" si="100">"999"</f>
        <v>999</v>
      </c>
      <c r="J1090" s="141" t="s">
        <v>4327</v>
      </c>
      <c r="K1090" s="141">
        <v>1180</v>
      </c>
      <c r="L1090" s="141">
        <v>1</v>
      </c>
      <c r="M1090" s="141">
        <v>0</v>
      </c>
      <c r="N1090" s="141">
        <v>1000</v>
      </c>
      <c r="O1090" s="141" t="s">
        <v>4373</v>
      </c>
      <c r="P1090" s="141" t="s">
        <v>4658</v>
      </c>
    </row>
    <row r="1091" spans="1:16" ht="25.5">
      <c r="A1091" s="141">
        <v>76807</v>
      </c>
      <c r="B1091" s="141" t="s">
        <v>4325</v>
      </c>
      <c r="C1091" s="142">
        <v>41201</v>
      </c>
      <c r="D1091" s="141">
        <v>471</v>
      </c>
      <c r="E1091" s="141" t="str">
        <f t="shared" si="98"/>
        <v>001</v>
      </c>
      <c r="F1091" s="141" t="s">
        <v>4326</v>
      </c>
      <c r="G1091" s="141" t="str">
        <f t="shared" si="99"/>
        <v>0430</v>
      </c>
      <c r="H1091" s="141" t="s">
        <v>4697</v>
      </c>
      <c r="I1091" s="141" t="str">
        <f t="shared" si="100"/>
        <v>999</v>
      </c>
      <c r="J1091" s="141" t="s">
        <v>4327</v>
      </c>
      <c r="K1091" s="141">
        <v>1181</v>
      </c>
      <c r="L1091" s="141">
        <v>1</v>
      </c>
      <c r="M1091" s="141">
        <v>0</v>
      </c>
      <c r="N1091" s="141">
        <v>5000</v>
      </c>
      <c r="O1091" s="141" t="s">
        <v>4332</v>
      </c>
      <c r="P1091" s="141" t="s">
        <v>4687</v>
      </c>
    </row>
    <row r="1092" spans="1:16" ht="25.5">
      <c r="A1092" s="141">
        <v>76807</v>
      </c>
      <c r="B1092" s="141" t="s">
        <v>4325</v>
      </c>
      <c r="C1092" s="142">
        <v>41201</v>
      </c>
      <c r="D1092" s="141">
        <v>471</v>
      </c>
      <c r="E1092" s="141" t="str">
        <f t="shared" si="98"/>
        <v>001</v>
      </c>
      <c r="F1092" s="141" t="s">
        <v>4326</v>
      </c>
      <c r="G1092" s="141" t="str">
        <f t="shared" si="99"/>
        <v>0430</v>
      </c>
      <c r="H1092" s="141" t="s">
        <v>4697</v>
      </c>
      <c r="I1092" s="141" t="str">
        <f t="shared" si="100"/>
        <v>999</v>
      </c>
      <c r="J1092" s="141" t="s">
        <v>4327</v>
      </c>
      <c r="K1092" s="141">
        <v>1182</v>
      </c>
      <c r="L1092" s="141">
        <v>1</v>
      </c>
      <c r="M1092" s="141">
        <v>0</v>
      </c>
      <c r="N1092" s="141">
        <v>3000</v>
      </c>
      <c r="O1092" s="141" t="s">
        <v>4330</v>
      </c>
      <c r="P1092" s="141" t="s">
        <v>4331</v>
      </c>
    </row>
    <row r="1093" spans="1:16" ht="25.5">
      <c r="A1093" s="141">
        <v>76807</v>
      </c>
      <c r="B1093" s="141" t="s">
        <v>4325</v>
      </c>
      <c r="C1093" s="142">
        <v>41201</v>
      </c>
      <c r="D1093" s="141">
        <v>471</v>
      </c>
      <c r="E1093" s="141" t="str">
        <f t="shared" si="98"/>
        <v>001</v>
      </c>
      <c r="F1093" s="141" t="s">
        <v>4326</v>
      </c>
      <c r="G1093" s="141" t="str">
        <f t="shared" si="99"/>
        <v>0430</v>
      </c>
      <c r="H1093" s="141" t="s">
        <v>4697</v>
      </c>
      <c r="I1093" s="141" t="str">
        <f t="shared" si="100"/>
        <v>999</v>
      </c>
      <c r="J1093" s="141" t="s">
        <v>4327</v>
      </c>
      <c r="K1093" s="141">
        <v>2921</v>
      </c>
      <c r="L1093" s="141">
        <v>1</v>
      </c>
      <c r="M1093" s="141">
        <v>0</v>
      </c>
      <c r="N1093" s="141">
        <v>11000</v>
      </c>
      <c r="O1093" s="141" t="s">
        <v>4332</v>
      </c>
      <c r="P1093" s="141" t="s">
        <v>4423</v>
      </c>
    </row>
    <row r="1094" spans="1:16" ht="25.5">
      <c r="A1094" s="141">
        <v>76807</v>
      </c>
      <c r="B1094" s="141" t="s">
        <v>4325</v>
      </c>
      <c r="C1094" s="142">
        <v>41201</v>
      </c>
      <c r="D1094" s="141">
        <v>471</v>
      </c>
      <c r="E1094" s="141" t="str">
        <f t="shared" si="98"/>
        <v>001</v>
      </c>
      <c r="F1094" s="141" t="s">
        <v>4326</v>
      </c>
      <c r="G1094" s="141" t="str">
        <f t="shared" si="99"/>
        <v>0430</v>
      </c>
      <c r="H1094" s="141" t="s">
        <v>4697</v>
      </c>
      <c r="I1094" s="141" t="str">
        <f t="shared" si="100"/>
        <v>999</v>
      </c>
      <c r="J1094" s="141" t="s">
        <v>4327</v>
      </c>
      <c r="K1094" s="141">
        <v>2922</v>
      </c>
      <c r="L1094" s="141">
        <v>1</v>
      </c>
      <c r="M1094" s="141">
        <v>0</v>
      </c>
      <c r="N1094" s="141">
        <v>1000</v>
      </c>
      <c r="O1094" s="141" t="s">
        <v>4373</v>
      </c>
      <c r="P1094" s="141" t="s">
        <v>4698</v>
      </c>
    </row>
    <row r="1095" spans="1:16" ht="25.5">
      <c r="A1095" s="141">
        <v>76807</v>
      </c>
      <c r="B1095" s="141" t="s">
        <v>4325</v>
      </c>
      <c r="C1095" s="142">
        <v>41201</v>
      </c>
      <c r="D1095" s="141">
        <v>471</v>
      </c>
      <c r="E1095" s="141" t="str">
        <f t="shared" si="98"/>
        <v>001</v>
      </c>
      <c r="F1095" s="141" t="s">
        <v>4326</v>
      </c>
      <c r="G1095" s="141" t="str">
        <f t="shared" si="99"/>
        <v>0430</v>
      </c>
      <c r="H1095" s="141" t="s">
        <v>4697</v>
      </c>
      <c r="I1095" s="141" t="str">
        <f t="shared" si="100"/>
        <v>999</v>
      </c>
      <c r="J1095" s="141" t="s">
        <v>4327</v>
      </c>
      <c r="K1095" s="141">
        <v>2923</v>
      </c>
      <c r="L1095" s="141">
        <v>1</v>
      </c>
      <c r="M1095" s="141">
        <v>0</v>
      </c>
      <c r="N1095" s="141">
        <v>2000</v>
      </c>
      <c r="O1095" s="141" t="s">
        <v>4330</v>
      </c>
      <c r="P1095" s="141" t="s">
        <v>4690</v>
      </c>
    </row>
    <row r="1096" spans="1:16" ht="25.5">
      <c r="A1096" s="141">
        <v>76807</v>
      </c>
      <c r="B1096" s="141" t="s">
        <v>4325</v>
      </c>
      <c r="C1096" s="142">
        <v>41201</v>
      </c>
      <c r="D1096" s="141">
        <v>1142</v>
      </c>
      <c r="E1096" s="141" t="str">
        <f t="shared" si="98"/>
        <v>001</v>
      </c>
      <c r="F1096" s="141" t="s">
        <v>4326</v>
      </c>
      <c r="G1096" s="141" t="str">
        <f>"0435"</f>
        <v>0435</v>
      </c>
      <c r="H1096" s="141" t="s">
        <v>550</v>
      </c>
      <c r="I1096" s="141" t="str">
        <f t="shared" si="100"/>
        <v>999</v>
      </c>
      <c r="J1096" s="141" t="s">
        <v>4327</v>
      </c>
      <c r="K1096" s="141">
        <v>2902</v>
      </c>
      <c r="L1096" s="141">
        <v>1</v>
      </c>
      <c r="M1096" s="141">
        <v>0</v>
      </c>
      <c r="N1096" s="141">
        <v>5000</v>
      </c>
      <c r="O1096" s="141" t="s">
        <v>4328</v>
      </c>
      <c r="P1096" s="141" t="s">
        <v>4699</v>
      </c>
    </row>
    <row r="1097" spans="1:16" ht="25.5">
      <c r="A1097" s="141">
        <v>76807</v>
      </c>
      <c r="B1097" s="141" t="s">
        <v>4325</v>
      </c>
      <c r="C1097" s="142">
        <v>41201</v>
      </c>
      <c r="D1097" s="141">
        <v>1142</v>
      </c>
      <c r="E1097" s="141" t="str">
        <f t="shared" si="98"/>
        <v>001</v>
      </c>
      <c r="F1097" s="141" t="s">
        <v>4326</v>
      </c>
      <c r="G1097" s="141" t="str">
        <f>"0435"</f>
        <v>0435</v>
      </c>
      <c r="H1097" s="141" t="s">
        <v>550</v>
      </c>
      <c r="I1097" s="141" t="str">
        <f t="shared" si="100"/>
        <v>999</v>
      </c>
      <c r="J1097" s="141" t="s">
        <v>4327</v>
      </c>
      <c r="K1097" s="141">
        <v>2903</v>
      </c>
      <c r="L1097" s="141">
        <v>1</v>
      </c>
      <c r="M1097" s="141">
        <v>0</v>
      </c>
      <c r="N1097" s="141">
        <v>3000</v>
      </c>
      <c r="O1097" s="141" t="s">
        <v>4330</v>
      </c>
      <c r="P1097" s="141" t="s">
        <v>4331</v>
      </c>
    </row>
    <row r="1098" spans="1:16" ht="25.5">
      <c r="A1098" s="141">
        <v>76807</v>
      </c>
      <c r="B1098" s="141" t="s">
        <v>4325</v>
      </c>
      <c r="C1098" s="142">
        <v>41201</v>
      </c>
      <c r="D1098" s="141">
        <v>1144</v>
      </c>
      <c r="E1098" s="141" t="str">
        <f t="shared" si="98"/>
        <v>001</v>
      </c>
      <c r="F1098" s="141" t="s">
        <v>4326</v>
      </c>
      <c r="G1098" s="141" t="str">
        <f>"0437"</f>
        <v>0437</v>
      </c>
      <c r="H1098" s="141" t="s">
        <v>551</v>
      </c>
      <c r="I1098" s="141" t="str">
        <f t="shared" si="100"/>
        <v>999</v>
      </c>
      <c r="J1098" s="141" t="s">
        <v>4327</v>
      </c>
      <c r="K1098" s="141">
        <v>2906</v>
      </c>
      <c r="L1098" s="141">
        <v>1</v>
      </c>
      <c r="M1098" s="141">
        <v>0</v>
      </c>
      <c r="N1098" s="141">
        <v>2000</v>
      </c>
      <c r="O1098" s="141" t="s">
        <v>4330</v>
      </c>
      <c r="P1098" s="141" t="s">
        <v>4356</v>
      </c>
    </row>
    <row r="1099" spans="1:16" ht="25.5">
      <c r="A1099" s="141">
        <v>76807</v>
      </c>
      <c r="B1099" s="141" t="s">
        <v>4325</v>
      </c>
      <c r="C1099" s="142">
        <v>41201</v>
      </c>
      <c r="D1099" s="141">
        <v>1144</v>
      </c>
      <c r="E1099" s="141" t="str">
        <f t="shared" si="98"/>
        <v>001</v>
      </c>
      <c r="F1099" s="141" t="s">
        <v>4326</v>
      </c>
      <c r="G1099" s="141" t="str">
        <f>"0437"</f>
        <v>0437</v>
      </c>
      <c r="H1099" s="141" t="s">
        <v>551</v>
      </c>
      <c r="I1099" s="141" t="str">
        <f t="shared" si="100"/>
        <v>999</v>
      </c>
      <c r="J1099" s="141" t="s">
        <v>4327</v>
      </c>
      <c r="K1099" s="141">
        <v>2907</v>
      </c>
      <c r="L1099" s="141">
        <v>1</v>
      </c>
      <c r="M1099" s="141">
        <v>0</v>
      </c>
      <c r="N1099" s="141">
        <v>9000</v>
      </c>
      <c r="O1099" s="141" t="s">
        <v>4463</v>
      </c>
      <c r="P1099" s="141" t="s">
        <v>4462</v>
      </c>
    </row>
    <row r="1100" spans="1:16" ht="25.5">
      <c r="A1100" s="141">
        <v>76807</v>
      </c>
      <c r="B1100" s="141" t="s">
        <v>4325</v>
      </c>
      <c r="C1100" s="142">
        <v>41201</v>
      </c>
      <c r="D1100" s="141">
        <v>1146</v>
      </c>
      <c r="E1100" s="141" t="str">
        <f t="shared" si="98"/>
        <v>001</v>
      </c>
      <c r="F1100" s="141" t="s">
        <v>4326</v>
      </c>
      <c r="G1100" s="141" t="str">
        <f>"0438"</f>
        <v>0438</v>
      </c>
      <c r="H1100" s="141" t="s">
        <v>553</v>
      </c>
      <c r="I1100" s="141" t="str">
        <f t="shared" si="100"/>
        <v>999</v>
      </c>
      <c r="J1100" s="141" t="s">
        <v>4327</v>
      </c>
      <c r="K1100" s="141">
        <v>2910</v>
      </c>
      <c r="L1100" s="141">
        <v>1</v>
      </c>
      <c r="M1100" s="141">
        <v>0</v>
      </c>
      <c r="N1100" s="141">
        <v>2000</v>
      </c>
      <c r="O1100" s="141" t="s">
        <v>4330</v>
      </c>
      <c r="P1100" s="141" t="s">
        <v>4690</v>
      </c>
    </row>
    <row r="1101" spans="1:16" ht="25.5">
      <c r="A1101" s="141">
        <v>76807</v>
      </c>
      <c r="B1101" s="141" t="s">
        <v>4325</v>
      </c>
      <c r="C1101" s="142">
        <v>41201</v>
      </c>
      <c r="D1101" s="141">
        <v>1146</v>
      </c>
      <c r="E1101" s="141" t="str">
        <f t="shared" si="98"/>
        <v>001</v>
      </c>
      <c r="F1101" s="141" t="s">
        <v>4326</v>
      </c>
      <c r="G1101" s="141" t="str">
        <f>"0438"</f>
        <v>0438</v>
      </c>
      <c r="H1101" s="141" t="s">
        <v>553</v>
      </c>
      <c r="I1101" s="141" t="str">
        <f t="shared" si="100"/>
        <v>999</v>
      </c>
      <c r="J1101" s="141" t="s">
        <v>4327</v>
      </c>
      <c r="K1101" s="141">
        <v>2911</v>
      </c>
      <c r="L1101" s="141">
        <v>1</v>
      </c>
      <c r="M1101" s="141">
        <v>0</v>
      </c>
      <c r="N1101" s="141">
        <v>2000</v>
      </c>
      <c r="O1101" s="141" t="s">
        <v>4328</v>
      </c>
      <c r="P1101" s="141" t="s">
        <v>4700</v>
      </c>
    </row>
    <row r="1102" spans="1:16" ht="25.5">
      <c r="A1102" s="141">
        <v>76807</v>
      </c>
      <c r="B1102" s="141" t="s">
        <v>4325</v>
      </c>
      <c r="C1102" s="142">
        <v>41201</v>
      </c>
      <c r="D1102" s="141">
        <v>1138</v>
      </c>
      <c r="E1102" s="141" t="str">
        <f t="shared" si="98"/>
        <v>001</v>
      </c>
      <c r="F1102" s="141" t="s">
        <v>4326</v>
      </c>
      <c r="G1102" s="141" t="str">
        <f>"0439"</f>
        <v>0439</v>
      </c>
      <c r="H1102" s="141" t="s">
        <v>552</v>
      </c>
      <c r="I1102" s="141" t="str">
        <f t="shared" si="100"/>
        <v>999</v>
      </c>
      <c r="J1102" s="141" t="s">
        <v>4327</v>
      </c>
      <c r="K1102" s="141">
        <v>2893</v>
      </c>
      <c r="L1102" s="141">
        <v>1</v>
      </c>
      <c r="M1102" s="141">
        <v>0</v>
      </c>
      <c r="N1102" s="141">
        <v>2000</v>
      </c>
      <c r="O1102" s="141" t="s">
        <v>4330</v>
      </c>
      <c r="P1102" s="141" t="s">
        <v>4356</v>
      </c>
    </row>
    <row r="1103" spans="1:16" ht="25.5">
      <c r="A1103" s="141">
        <v>76807</v>
      </c>
      <c r="B1103" s="141" t="s">
        <v>4325</v>
      </c>
      <c r="C1103" s="142">
        <v>41201</v>
      </c>
      <c r="D1103" s="141">
        <v>1138</v>
      </c>
      <c r="E1103" s="141" t="str">
        <f t="shared" si="98"/>
        <v>001</v>
      </c>
      <c r="F1103" s="141" t="s">
        <v>4326</v>
      </c>
      <c r="G1103" s="141" t="str">
        <f>"0439"</f>
        <v>0439</v>
      </c>
      <c r="H1103" s="141" t="s">
        <v>552</v>
      </c>
      <c r="I1103" s="141" t="str">
        <f t="shared" si="100"/>
        <v>999</v>
      </c>
      <c r="J1103" s="141" t="s">
        <v>4327</v>
      </c>
      <c r="K1103" s="141">
        <v>2894</v>
      </c>
      <c r="L1103" s="141">
        <v>1</v>
      </c>
      <c r="M1103" s="141">
        <v>0</v>
      </c>
      <c r="N1103" s="141">
        <v>2000</v>
      </c>
      <c r="O1103" s="141" t="s">
        <v>4330</v>
      </c>
      <c r="P1103" s="141" t="s">
        <v>4356</v>
      </c>
    </row>
    <row r="1104" spans="1:16" ht="25.5">
      <c r="A1104" s="141">
        <v>76807</v>
      </c>
      <c r="B1104" s="141" t="s">
        <v>4325</v>
      </c>
      <c r="C1104" s="142">
        <v>41201</v>
      </c>
      <c r="D1104" s="141">
        <v>365</v>
      </c>
      <c r="E1104" s="141" t="str">
        <f t="shared" si="98"/>
        <v>001</v>
      </c>
      <c r="F1104" s="141" t="s">
        <v>4326</v>
      </c>
      <c r="G1104" s="141" t="str">
        <f t="shared" ref="G1104:G1110" si="101">"0440"</f>
        <v>0440</v>
      </c>
      <c r="H1104" s="141" t="s">
        <v>563</v>
      </c>
      <c r="I1104" s="141" t="str">
        <f t="shared" si="100"/>
        <v>999</v>
      </c>
      <c r="J1104" s="141" t="s">
        <v>4327</v>
      </c>
      <c r="K1104" s="141">
        <v>779</v>
      </c>
      <c r="L1104" s="141">
        <v>1</v>
      </c>
      <c r="M1104" s="141">
        <v>0</v>
      </c>
      <c r="N1104" s="141">
        <v>4000</v>
      </c>
      <c r="O1104" s="141" t="s">
        <v>4330</v>
      </c>
      <c r="P1104" s="141" t="s">
        <v>4348</v>
      </c>
    </row>
    <row r="1105" spans="1:16" ht="25.5">
      <c r="A1105" s="141">
        <v>76807</v>
      </c>
      <c r="B1105" s="141" t="s">
        <v>4325</v>
      </c>
      <c r="C1105" s="142">
        <v>41201</v>
      </c>
      <c r="D1105" s="141">
        <v>365</v>
      </c>
      <c r="E1105" s="141" t="str">
        <f t="shared" si="98"/>
        <v>001</v>
      </c>
      <c r="F1105" s="141" t="s">
        <v>4326</v>
      </c>
      <c r="G1105" s="141" t="str">
        <f t="shared" si="101"/>
        <v>0440</v>
      </c>
      <c r="H1105" s="141" t="s">
        <v>563</v>
      </c>
      <c r="I1105" s="141" t="str">
        <f t="shared" si="100"/>
        <v>999</v>
      </c>
      <c r="J1105" s="141" t="s">
        <v>4327</v>
      </c>
      <c r="K1105" s="141">
        <v>780</v>
      </c>
      <c r="L1105" s="141">
        <v>1</v>
      </c>
      <c r="M1105" s="141">
        <v>0</v>
      </c>
      <c r="N1105" s="141">
        <v>2000</v>
      </c>
      <c r="O1105" s="141" t="s">
        <v>4351</v>
      </c>
      <c r="P1105" s="141" t="s">
        <v>4390</v>
      </c>
    </row>
    <row r="1106" spans="1:16" ht="25.5">
      <c r="A1106" s="141">
        <v>76807</v>
      </c>
      <c r="B1106" s="141" t="s">
        <v>4325</v>
      </c>
      <c r="C1106" s="142">
        <v>41201</v>
      </c>
      <c r="D1106" s="141">
        <v>365</v>
      </c>
      <c r="E1106" s="141" t="str">
        <f t="shared" si="98"/>
        <v>001</v>
      </c>
      <c r="F1106" s="141" t="s">
        <v>4326</v>
      </c>
      <c r="G1106" s="141" t="str">
        <f t="shared" si="101"/>
        <v>0440</v>
      </c>
      <c r="H1106" s="141" t="s">
        <v>563</v>
      </c>
      <c r="I1106" s="141" t="str">
        <f t="shared" si="100"/>
        <v>999</v>
      </c>
      <c r="J1106" s="141" t="s">
        <v>4327</v>
      </c>
      <c r="K1106" s="141">
        <v>781</v>
      </c>
      <c r="L1106" s="141">
        <v>1</v>
      </c>
      <c r="M1106" s="141">
        <v>0</v>
      </c>
      <c r="N1106" s="141">
        <v>4000</v>
      </c>
      <c r="O1106" s="141" t="s">
        <v>4397</v>
      </c>
      <c r="P1106" s="141" t="s">
        <v>4467</v>
      </c>
    </row>
    <row r="1107" spans="1:16" ht="25.5">
      <c r="A1107" s="141">
        <v>76807</v>
      </c>
      <c r="B1107" s="141" t="s">
        <v>4325</v>
      </c>
      <c r="C1107" s="142">
        <v>41201</v>
      </c>
      <c r="D1107" s="141">
        <v>365</v>
      </c>
      <c r="E1107" s="141" t="str">
        <f t="shared" si="98"/>
        <v>001</v>
      </c>
      <c r="F1107" s="141" t="s">
        <v>4326</v>
      </c>
      <c r="G1107" s="141" t="str">
        <f t="shared" si="101"/>
        <v>0440</v>
      </c>
      <c r="H1107" s="141" t="s">
        <v>563</v>
      </c>
      <c r="I1107" s="141" t="str">
        <f t="shared" si="100"/>
        <v>999</v>
      </c>
      <c r="J1107" s="141" t="s">
        <v>4327</v>
      </c>
      <c r="K1107" s="141">
        <v>1001</v>
      </c>
      <c r="L1107" s="141">
        <v>1</v>
      </c>
      <c r="M1107" s="141">
        <v>0</v>
      </c>
      <c r="N1107" s="141">
        <v>2000</v>
      </c>
      <c r="O1107" s="141" t="s">
        <v>4330</v>
      </c>
      <c r="P1107" s="141" t="s">
        <v>4356</v>
      </c>
    </row>
    <row r="1108" spans="1:16" ht="25.5">
      <c r="A1108" s="141">
        <v>76807</v>
      </c>
      <c r="B1108" s="141" t="s">
        <v>4325</v>
      </c>
      <c r="C1108" s="142">
        <v>41201</v>
      </c>
      <c r="D1108" s="141">
        <v>365</v>
      </c>
      <c r="E1108" s="141" t="str">
        <f t="shared" si="98"/>
        <v>001</v>
      </c>
      <c r="F1108" s="141" t="s">
        <v>4326</v>
      </c>
      <c r="G1108" s="141" t="str">
        <f t="shared" si="101"/>
        <v>0440</v>
      </c>
      <c r="H1108" s="141" t="s">
        <v>563</v>
      </c>
      <c r="I1108" s="141" t="str">
        <f t="shared" si="100"/>
        <v>999</v>
      </c>
      <c r="J1108" s="141" t="s">
        <v>4327</v>
      </c>
      <c r="K1108" s="141">
        <v>1002</v>
      </c>
      <c r="L1108" s="141">
        <v>1</v>
      </c>
      <c r="M1108" s="141">
        <v>0</v>
      </c>
      <c r="N1108" s="141">
        <v>1000</v>
      </c>
      <c r="O1108" s="141" t="s">
        <v>4351</v>
      </c>
      <c r="P1108" s="141" t="s">
        <v>4355</v>
      </c>
    </row>
    <row r="1109" spans="1:16" ht="25.5">
      <c r="A1109" s="141">
        <v>76807</v>
      </c>
      <c r="B1109" s="141" t="s">
        <v>4325</v>
      </c>
      <c r="C1109" s="142">
        <v>41201</v>
      </c>
      <c r="D1109" s="141">
        <v>365</v>
      </c>
      <c r="E1109" s="141" t="str">
        <f t="shared" si="98"/>
        <v>001</v>
      </c>
      <c r="F1109" s="141" t="s">
        <v>4326</v>
      </c>
      <c r="G1109" s="141" t="str">
        <f t="shared" si="101"/>
        <v>0440</v>
      </c>
      <c r="H1109" s="141" t="s">
        <v>563</v>
      </c>
      <c r="I1109" s="141" t="str">
        <f t="shared" si="100"/>
        <v>999</v>
      </c>
      <c r="J1109" s="141" t="s">
        <v>4327</v>
      </c>
      <c r="K1109" s="141">
        <v>2927</v>
      </c>
      <c r="L1109" s="141">
        <v>1</v>
      </c>
      <c r="M1109" s="141">
        <v>0</v>
      </c>
      <c r="N1109" s="141">
        <v>1000</v>
      </c>
      <c r="O1109" s="141" t="s">
        <v>4351</v>
      </c>
      <c r="P1109" s="141" t="s">
        <v>4599</v>
      </c>
    </row>
    <row r="1110" spans="1:16" ht="25.5">
      <c r="A1110" s="141">
        <v>76807</v>
      </c>
      <c r="B1110" s="141" t="s">
        <v>4325</v>
      </c>
      <c r="C1110" s="142">
        <v>41201</v>
      </c>
      <c r="D1110" s="141">
        <v>365</v>
      </c>
      <c r="E1110" s="141" t="str">
        <f t="shared" si="98"/>
        <v>001</v>
      </c>
      <c r="F1110" s="141" t="s">
        <v>4326</v>
      </c>
      <c r="G1110" s="141" t="str">
        <f t="shared" si="101"/>
        <v>0440</v>
      </c>
      <c r="H1110" s="141" t="s">
        <v>563</v>
      </c>
      <c r="I1110" s="141" t="str">
        <f t="shared" si="100"/>
        <v>999</v>
      </c>
      <c r="J1110" s="141" t="s">
        <v>4327</v>
      </c>
      <c r="K1110" s="141">
        <v>2928</v>
      </c>
      <c r="L1110" s="141">
        <v>1</v>
      </c>
      <c r="M1110" s="141">
        <v>0</v>
      </c>
      <c r="N1110" s="141">
        <v>2000</v>
      </c>
      <c r="O1110" s="141" t="s">
        <v>4330</v>
      </c>
      <c r="P1110" s="141" t="s">
        <v>4443</v>
      </c>
    </row>
    <row r="1111" spans="1:16" ht="25.5">
      <c r="A1111" s="141">
        <v>76807</v>
      </c>
      <c r="B1111" s="141" t="s">
        <v>4325</v>
      </c>
      <c r="C1111" s="142">
        <v>41201</v>
      </c>
      <c r="D1111" s="141">
        <v>1147</v>
      </c>
      <c r="E1111" s="141" t="str">
        <f t="shared" si="98"/>
        <v>001</v>
      </c>
      <c r="F1111" s="141" t="s">
        <v>4326</v>
      </c>
      <c r="G1111" s="141" t="str">
        <f>"0441"</f>
        <v>0441</v>
      </c>
      <c r="H1111" s="141" t="s">
        <v>556</v>
      </c>
      <c r="I1111" s="141" t="str">
        <f t="shared" si="100"/>
        <v>999</v>
      </c>
      <c r="J1111" s="141" t="s">
        <v>4327</v>
      </c>
      <c r="K1111" s="141">
        <v>2912</v>
      </c>
      <c r="L1111" s="141">
        <v>1</v>
      </c>
      <c r="M1111" s="141">
        <v>0</v>
      </c>
      <c r="N1111" s="141">
        <v>2000</v>
      </c>
      <c r="O1111" s="141" t="s">
        <v>4332</v>
      </c>
      <c r="P1111" s="141" t="s">
        <v>4634</v>
      </c>
    </row>
    <row r="1112" spans="1:16" ht="25.5">
      <c r="A1112" s="141">
        <v>76807</v>
      </c>
      <c r="B1112" s="141" t="s">
        <v>4325</v>
      </c>
      <c r="C1112" s="142">
        <v>41201</v>
      </c>
      <c r="D1112" s="141">
        <v>1147</v>
      </c>
      <c r="E1112" s="141" t="str">
        <f t="shared" si="98"/>
        <v>001</v>
      </c>
      <c r="F1112" s="141" t="s">
        <v>4326</v>
      </c>
      <c r="G1112" s="141" t="str">
        <f>"0441"</f>
        <v>0441</v>
      </c>
      <c r="H1112" s="141" t="s">
        <v>556</v>
      </c>
      <c r="I1112" s="141" t="str">
        <f t="shared" si="100"/>
        <v>999</v>
      </c>
      <c r="J1112" s="141" t="s">
        <v>4327</v>
      </c>
      <c r="K1112" s="141">
        <v>2913</v>
      </c>
      <c r="L1112" s="141">
        <v>1</v>
      </c>
      <c r="M1112" s="141">
        <v>0</v>
      </c>
      <c r="N1112" s="141">
        <v>2000</v>
      </c>
      <c r="O1112" s="141" t="s">
        <v>4330</v>
      </c>
      <c r="P1112" s="141" t="s">
        <v>4690</v>
      </c>
    </row>
    <row r="1113" spans="1:16" ht="25.5">
      <c r="A1113" s="141">
        <v>76807</v>
      </c>
      <c r="B1113" s="141" t="s">
        <v>4325</v>
      </c>
      <c r="C1113" s="142">
        <v>41201</v>
      </c>
      <c r="D1113" s="141">
        <v>1141</v>
      </c>
      <c r="E1113" s="141" t="str">
        <f t="shared" si="98"/>
        <v>001</v>
      </c>
      <c r="F1113" s="141" t="s">
        <v>4326</v>
      </c>
      <c r="G1113" s="141" t="str">
        <f>"0442"</f>
        <v>0442</v>
      </c>
      <c r="H1113" s="141" t="s">
        <v>549</v>
      </c>
      <c r="I1113" s="141" t="str">
        <f t="shared" si="100"/>
        <v>999</v>
      </c>
      <c r="J1113" s="141" t="s">
        <v>4327</v>
      </c>
      <c r="K1113" s="141">
        <v>2900</v>
      </c>
      <c r="L1113" s="141">
        <v>1</v>
      </c>
      <c r="M1113" s="141">
        <v>0</v>
      </c>
      <c r="N1113" s="141">
        <v>2000</v>
      </c>
      <c r="O1113" s="141" t="s">
        <v>4330</v>
      </c>
      <c r="P1113" s="141" t="s">
        <v>4356</v>
      </c>
    </row>
    <row r="1114" spans="1:16" ht="25.5">
      <c r="A1114" s="141">
        <v>76807</v>
      </c>
      <c r="B1114" s="141" t="s">
        <v>4325</v>
      </c>
      <c r="C1114" s="142">
        <v>41201</v>
      </c>
      <c r="D1114" s="141">
        <v>1141</v>
      </c>
      <c r="E1114" s="141" t="str">
        <f t="shared" si="98"/>
        <v>001</v>
      </c>
      <c r="F1114" s="141" t="s">
        <v>4326</v>
      </c>
      <c r="G1114" s="141" t="str">
        <f>"0442"</f>
        <v>0442</v>
      </c>
      <c r="H1114" s="141" t="s">
        <v>549</v>
      </c>
      <c r="I1114" s="141" t="str">
        <f t="shared" si="100"/>
        <v>999</v>
      </c>
      <c r="J1114" s="141" t="s">
        <v>4327</v>
      </c>
      <c r="K1114" s="141">
        <v>2901</v>
      </c>
      <c r="L1114" s="141">
        <v>1</v>
      </c>
      <c r="M1114" s="141">
        <v>0</v>
      </c>
      <c r="N1114" s="141">
        <v>4000</v>
      </c>
      <c r="O1114" s="141" t="s">
        <v>4328</v>
      </c>
      <c r="P1114" s="141" t="s">
        <v>4701</v>
      </c>
    </row>
    <row r="1115" spans="1:16" ht="25.5">
      <c r="A1115" s="141">
        <v>76807</v>
      </c>
      <c r="B1115" s="141" t="s">
        <v>4325</v>
      </c>
      <c r="C1115" s="142">
        <v>41201</v>
      </c>
      <c r="D1115" s="141">
        <v>1148</v>
      </c>
      <c r="E1115" s="141" t="str">
        <f t="shared" si="98"/>
        <v>001</v>
      </c>
      <c r="F1115" s="141" t="s">
        <v>4326</v>
      </c>
      <c r="G1115" s="141" t="str">
        <f>"0443"</f>
        <v>0443</v>
      </c>
      <c r="H1115" s="141" t="s">
        <v>560</v>
      </c>
      <c r="I1115" s="141" t="str">
        <f t="shared" si="100"/>
        <v>999</v>
      </c>
      <c r="J1115" s="141" t="s">
        <v>4327</v>
      </c>
      <c r="K1115" s="141">
        <v>2919</v>
      </c>
      <c r="L1115" s="141">
        <v>1</v>
      </c>
      <c r="M1115" s="141">
        <v>0</v>
      </c>
      <c r="N1115" s="141">
        <v>3000</v>
      </c>
      <c r="O1115" s="141" t="s">
        <v>4330</v>
      </c>
      <c r="P1115" s="141" t="s">
        <v>4331</v>
      </c>
    </row>
    <row r="1116" spans="1:16" ht="25.5">
      <c r="A1116" s="141">
        <v>76807</v>
      </c>
      <c r="B1116" s="141" t="s">
        <v>4325</v>
      </c>
      <c r="C1116" s="142">
        <v>41201</v>
      </c>
      <c r="D1116" s="141">
        <v>1148</v>
      </c>
      <c r="E1116" s="141" t="str">
        <f t="shared" si="98"/>
        <v>001</v>
      </c>
      <c r="F1116" s="141" t="s">
        <v>4326</v>
      </c>
      <c r="G1116" s="141" t="str">
        <f>"0443"</f>
        <v>0443</v>
      </c>
      <c r="H1116" s="141" t="s">
        <v>560</v>
      </c>
      <c r="I1116" s="141" t="str">
        <f t="shared" si="100"/>
        <v>999</v>
      </c>
      <c r="J1116" s="141" t="s">
        <v>4327</v>
      </c>
      <c r="K1116" s="141">
        <v>2920</v>
      </c>
      <c r="L1116" s="141">
        <v>1</v>
      </c>
      <c r="M1116" s="141">
        <v>0</v>
      </c>
      <c r="N1116" s="141">
        <v>6000</v>
      </c>
      <c r="O1116" s="141" t="s">
        <v>4332</v>
      </c>
      <c r="P1116" s="141" t="s">
        <v>4572</v>
      </c>
    </row>
    <row r="1117" spans="1:16" ht="25.5">
      <c r="A1117" s="141">
        <v>76807</v>
      </c>
      <c r="B1117" s="141" t="s">
        <v>4325</v>
      </c>
      <c r="C1117" s="142">
        <v>41201</v>
      </c>
      <c r="D1117" s="141">
        <v>1148</v>
      </c>
      <c r="E1117" s="141" t="str">
        <f t="shared" si="98"/>
        <v>001</v>
      </c>
      <c r="F1117" s="141" t="s">
        <v>4326</v>
      </c>
      <c r="G1117" s="141" t="str">
        <f>"0443"</f>
        <v>0443</v>
      </c>
      <c r="H1117" s="141" t="s">
        <v>560</v>
      </c>
      <c r="I1117" s="141" t="str">
        <f t="shared" si="100"/>
        <v>999</v>
      </c>
      <c r="J1117" s="141" t="s">
        <v>4327</v>
      </c>
      <c r="K1117" s="141">
        <v>2948</v>
      </c>
      <c r="L1117" s="141">
        <v>1</v>
      </c>
      <c r="M1117" s="141">
        <v>0</v>
      </c>
      <c r="N1117" s="141">
        <v>3000</v>
      </c>
      <c r="O1117" s="141" t="s">
        <v>4334</v>
      </c>
      <c r="P1117" s="141" t="s">
        <v>4361</v>
      </c>
    </row>
    <row r="1118" spans="1:16" ht="25.5">
      <c r="A1118" s="141">
        <v>76807</v>
      </c>
      <c r="B1118" s="141" t="s">
        <v>4325</v>
      </c>
      <c r="C1118" s="142">
        <v>41201</v>
      </c>
      <c r="D1118" s="141">
        <v>404</v>
      </c>
      <c r="E1118" s="141" t="str">
        <f t="shared" si="98"/>
        <v>001</v>
      </c>
      <c r="F1118" s="141" t="s">
        <v>4326</v>
      </c>
      <c r="G1118" s="141" t="str">
        <f>"0444"</f>
        <v>0444</v>
      </c>
      <c r="H1118" s="141" t="s">
        <v>751</v>
      </c>
      <c r="I1118" s="141" t="str">
        <f t="shared" si="100"/>
        <v>999</v>
      </c>
      <c r="J1118" s="141" t="s">
        <v>4327</v>
      </c>
      <c r="K1118" s="141">
        <v>1082</v>
      </c>
      <c r="L1118" s="141">
        <v>1</v>
      </c>
      <c r="M1118" s="141">
        <v>0</v>
      </c>
      <c r="N1118" s="141">
        <v>4000</v>
      </c>
      <c r="O1118" s="141" t="s">
        <v>4328</v>
      </c>
      <c r="P1118" s="141" t="s">
        <v>4470</v>
      </c>
    </row>
    <row r="1119" spans="1:16" ht="25.5">
      <c r="A1119" s="141">
        <v>76807</v>
      </c>
      <c r="B1119" s="141" t="s">
        <v>4325</v>
      </c>
      <c r="C1119" s="142">
        <v>41201</v>
      </c>
      <c r="D1119" s="141">
        <v>404</v>
      </c>
      <c r="E1119" s="141" t="str">
        <f t="shared" si="98"/>
        <v>001</v>
      </c>
      <c r="F1119" s="141" t="s">
        <v>4326</v>
      </c>
      <c r="G1119" s="141" t="str">
        <f>"0444"</f>
        <v>0444</v>
      </c>
      <c r="H1119" s="141" t="s">
        <v>751</v>
      </c>
      <c r="I1119" s="141" t="str">
        <f t="shared" si="100"/>
        <v>999</v>
      </c>
      <c r="J1119" s="141" t="s">
        <v>4327</v>
      </c>
      <c r="K1119" s="141">
        <v>1083</v>
      </c>
      <c r="L1119" s="141">
        <v>1</v>
      </c>
      <c r="M1119" s="141">
        <v>0</v>
      </c>
      <c r="N1119" s="141">
        <v>2000</v>
      </c>
      <c r="O1119" s="141" t="s">
        <v>4330</v>
      </c>
      <c r="P1119" s="141" t="s">
        <v>4356</v>
      </c>
    </row>
    <row r="1120" spans="1:16" ht="25.5">
      <c r="A1120" s="141">
        <v>76807</v>
      </c>
      <c r="B1120" s="141" t="s">
        <v>4325</v>
      </c>
      <c r="C1120" s="142">
        <v>41201</v>
      </c>
      <c r="D1120" s="141">
        <v>1158</v>
      </c>
      <c r="E1120" s="141" t="str">
        <f t="shared" si="98"/>
        <v>001</v>
      </c>
      <c r="F1120" s="141" t="s">
        <v>4326</v>
      </c>
      <c r="G1120" s="141" t="str">
        <f>"0446"</f>
        <v>0446</v>
      </c>
      <c r="H1120" s="141" t="s">
        <v>756</v>
      </c>
      <c r="I1120" s="141" t="str">
        <f t="shared" si="100"/>
        <v>999</v>
      </c>
      <c r="J1120" s="141" t="s">
        <v>4327</v>
      </c>
      <c r="K1120" s="141">
        <v>2961</v>
      </c>
      <c r="L1120" s="141">
        <v>1</v>
      </c>
      <c r="M1120" s="141">
        <v>0</v>
      </c>
      <c r="N1120" s="141">
        <v>1000</v>
      </c>
      <c r="O1120" s="141" t="s">
        <v>4659</v>
      </c>
      <c r="P1120" s="141" t="s">
        <v>4695</v>
      </c>
    </row>
    <row r="1121" spans="1:16" ht="25.5">
      <c r="A1121" s="141">
        <v>76807</v>
      </c>
      <c r="B1121" s="141" t="s">
        <v>4325</v>
      </c>
      <c r="C1121" s="142">
        <v>41201</v>
      </c>
      <c r="D1121" s="141">
        <v>1158</v>
      </c>
      <c r="E1121" s="141" t="str">
        <f t="shared" si="98"/>
        <v>001</v>
      </c>
      <c r="F1121" s="141" t="s">
        <v>4326</v>
      </c>
      <c r="G1121" s="141" t="str">
        <f>"0446"</f>
        <v>0446</v>
      </c>
      <c r="H1121" s="141" t="s">
        <v>756</v>
      </c>
      <c r="I1121" s="141" t="str">
        <f t="shared" si="100"/>
        <v>999</v>
      </c>
      <c r="J1121" s="141" t="s">
        <v>4327</v>
      </c>
      <c r="K1121" s="141">
        <v>2962</v>
      </c>
      <c r="L1121" s="141">
        <v>10</v>
      </c>
      <c r="M1121" s="141">
        <v>0</v>
      </c>
      <c r="N1121" s="141">
        <v>30000</v>
      </c>
      <c r="O1121" s="141" t="s">
        <v>4334</v>
      </c>
      <c r="P1121" s="141" t="s">
        <v>4361</v>
      </c>
    </row>
    <row r="1122" spans="1:16" ht="25.5">
      <c r="A1122" s="141">
        <v>76807</v>
      </c>
      <c r="B1122" s="141" t="s">
        <v>4325</v>
      </c>
      <c r="C1122" s="142">
        <v>41201</v>
      </c>
      <c r="D1122" s="141">
        <v>1158</v>
      </c>
      <c r="E1122" s="141" t="str">
        <f t="shared" si="98"/>
        <v>001</v>
      </c>
      <c r="F1122" s="141" t="s">
        <v>4326</v>
      </c>
      <c r="G1122" s="141" t="str">
        <f>"0446"</f>
        <v>0446</v>
      </c>
      <c r="H1122" s="141" t="s">
        <v>756</v>
      </c>
      <c r="I1122" s="141" t="str">
        <f t="shared" si="100"/>
        <v>999</v>
      </c>
      <c r="J1122" s="141" t="s">
        <v>4327</v>
      </c>
      <c r="K1122" s="141">
        <v>2963</v>
      </c>
      <c r="L1122" s="141">
        <v>1</v>
      </c>
      <c r="M1122" s="141">
        <v>0</v>
      </c>
      <c r="N1122" s="141">
        <v>12000</v>
      </c>
      <c r="O1122" s="141" t="s">
        <v>4328</v>
      </c>
      <c r="P1122" s="141" t="s">
        <v>4438</v>
      </c>
    </row>
    <row r="1123" spans="1:16" ht="25.5">
      <c r="A1123" s="141">
        <v>76807</v>
      </c>
      <c r="B1123" s="141" t="s">
        <v>4325</v>
      </c>
      <c r="C1123" s="142">
        <v>41201</v>
      </c>
      <c r="D1123" s="141">
        <v>1158</v>
      </c>
      <c r="E1123" s="141" t="str">
        <f t="shared" si="98"/>
        <v>001</v>
      </c>
      <c r="F1123" s="141" t="s">
        <v>4326</v>
      </c>
      <c r="G1123" s="141" t="str">
        <f>"0446"</f>
        <v>0446</v>
      </c>
      <c r="H1123" s="141" t="s">
        <v>756</v>
      </c>
      <c r="I1123" s="141" t="str">
        <f t="shared" si="100"/>
        <v>999</v>
      </c>
      <c r="J1123" s="141" t="s">
        <v>4327</v>
      </c>
      <c r="K1123" s="141">
        <v>2964</v>
      </c>
      <c r="L1123" s="141">
        <v>1</v>
      </c>
      <c r="M1123" s="141">
        <v>0</v>
      </c>
      <c r="N1123" s="141">
        <v>3000</v>
      </c>
      <c r="O1123" s="141" t="s">
        <v>4330</v>
      </c>
      <c r="P1123" s="141" t="s">
        <v>4331</v>
      </c>
    </row>
    <row r="1124" spans="1:16" ht="25.5">
      <c r="A1124" s="141">
        <v>76807</v>
      </c>
      <c r="B1124" s="141" t="s">
        <v>4325</v>
      </c>
      <c r="C1124" s="142">
        <v>41201</v>
      </c>
      <c r="D1124" s="141">
        <v>370</v>
      </c>
      <c r="E1124" s="141" t="str">
        <f t="shared" si="98"/>
        <v>001</v>
      </c>
      <c r="F1124" s="141" t="s">
        <v>4326</v>
      </c>
      <c r="G1124" s="141" t="str">
        <f t="shared" ref="G1124:G1130" si="102">"0447"</f>
        <v>0447</v>
      </c>
      <c r="H1124" s="141" t="s">
        <v>748</v>
      </c>
      <c r="I1124" s="141" t="str">
        <f t="shared" si="100"/>
        <v>999</v>
      </c>
      <c r="J1124" s="141" t="s">
        <v>4327</v>
      </c>
      <c r="K1124" s="141">
        <v>812</v>
      </c>
      <c r="L1124" s="141">
        <v>1</v>
      </c>
      <c r="M1124" s="141">
        <v>0</v>
      </c>
      <c r="N1124" s="141">
        <v>2000</v>
      </c>
      <c r="O1124" s="141" t="s">
        <v>4337</v>
      </c>
      <c r="P1124" s="141" t="s">
        <v>4702</v>
      </c>
    </row>
    <row r="1125" spans="1:16" ht="25.5">
      <c r="A1125" s="141">
        <v>76807</v>
      </c>
      <c r="B1125" s="141" t="s">
        <v>4325</v>
      </c>
      <c r="C1125" s="142">
        <v>41201</v>
      </c>
      <c r="D1125" s="141">
        <v>370</v>
      </c>
      <c r="E1125" s="141" t="str">
        <f t="shared" si="98"/>
        <v>001</v>
      </c>
      <c r="F1125" s="141" t="s">
        <v>4326</v>
      </c>
      <c r="G1125" s="141" t="str">
        <f t="shared" si="102"/>
        <v>0447</v>
      </c>
      <c r="H1125" s="141" t="s">
        <v>748</v>
      </c>
      <c r="I1125" s="141" t="str">
        <f t="shared" si="100"/>
        <v>999</v>
      </c>
      <c r="J1125" s="141" t="s">
        <v>4327</v>
      </c>
      <c r="K1125" s="141">
        <v>813</v>
      </c>
      <c r="L1125" s="141">
        <v>1</v>
      </c>
      <c r="M1125" s="141">
        <v>0</v>
      </c>
      <c r="N1125" s="141">
        <v>10000</v>
      </c>
      <c r="O1125" s="141" t="s">
        <v>4463</v>
      </c>
      <c r="P1125" s="141" t="s">
        <v>4702</v>
      </c>
    </row>
    <row r="1126" spans="1:16" ht="25.5">
      <c r="A1126" s="141">
        <v>76807</v>
      </c>
      <c r="B1126" s="141" t="s">
        <v>4325</v>
      </c>
      <c r="C1126" s="142">
        <v>41201</v>
      </c>
      <c r="D1126" s="141">
        <v>370</v>
      </c>
      <c r="E1126" s="141" t="str">
        <f t="shared" si="98"/>
        <v>001</v>
      </c>
      <c r="F1126" s="141" t="s">
        <v>4326</v>
      </c>
      <c r="G1126" s="141" t="str">
        <f t="shared" si="102"/>
        <v>0447</v>
      </c>
      <c r="H1126" s="141" t="s">
        <v>748</v>
      </c>
      <c r="I1126" s="141" t="str">
        <f t="shared" si="100"/>
        <v>999</v>
      </c>
      <c r="J1126" s="141" t="s">
        <v>4327</v>
      </c>
      <c r="K1126" s="141">
        <v>814</v>
      </c>
      <c r="L1126" s="141">
        <v>1</v>
      </c>
      <c r="M1126" s="141">
        <v>0</v>
      </c>
      <c r="N1126" s="141">
        <v>4000</v>
      </c>
      <c r="O1126" s="141" t="s">
        <v>4330</v>
      </c>
      <c r="P1126" s="141" t="s">
        <v>4348</v>
      </c>
    </row>
    <row r="1127" spans="1:16" ht="25.5">
      <c r="A1127" s="141">
        <v>76807</v>
      </c>
      <c r="B1127" s="141" t="s">
        <v>4325</v>
      </c>
      <c r="C1127" s="142">
        <v>41201</v>
      </c>
      <c r="D1127" s="141">
        <v>370</v>
      </c>
      <c r="E1127" s="141" t="str">
        <f t="shared" si="98"/>
        <v>001</v>
      </c>
      <c r="F1127" s="141" t="s">
        <v>4326</v>
      </c>
      <c r="G1127" s="141" t="str">
        <f t="shared" si="102"/>
        <v>0447</v>
      </c>
      <c r="H1127" s="141" t="s">
        <v>748</v>
      </c>
      <c r="I1127" s="141" t="str">
        <f t="shared" si="100"/>
        <v>999</v>
      </c>
      <c r="J1127" s="141" t="s">
        <v>4327</v>
      </c>
      <c r="K1127" s="141">
        <v>815</v>
      </c>
      <c r="L1127" s="141">
        <v>1</v>
      </c>
      <c r="M1127" s="141">
        <v>0</v>
      </c>
      <c r="N1127" s="141">
        <v>5000</v>
      </c>
      <c r="O1127" s="141" t="s">
        <v>4397</v>
      </c>
      <c r="P1127" s="141" t="s">
        <v>4703</v>
      </c>
    </row>
    <row r="1128" spans="1:16" ht="25.5">
      <c r="A1128" s="141">
        <v>76807</v>
      </c>
      <c r="B1128" s="141" t="s">
        <v>4325</v>
      </c>
      <c r="C1128" s="142">
        <v>41201</v>
      </c>
      <c r="D1128" s="141">
        <v>370</v>
      </c>
      <c r="E1128" s="141" t="str">
        <f t="shared" si="98"/>
        <v>001</v>
      </c>
      <c r="F1128" s="141" t="s">
        <v>4326</v>
      </c>
      <c r="G1128" s="141" t="str">
        <f t="shared" si="102"/>
        <v>0447</v>
      </c>
      <c r="H1128" s="141" t="s">
        <v>748</v>
      </c>
      <c r="I1128" s="141" t="str">
        <f t="shared" si="100"/>
        <v>999</v>
      </c>
      <c r="J1128" s="141" t="s">
        <v>4327</v>
      </c>
      <c r="K1128" s="141">
        <v>996</v>
      </c>
      <c r="L1128" s="141">
        <v>1</v>
      </c>
      <c r="M1128" s="141">
        <v>0</v>
      </c>
      <c r="N1128" s="141">
        <v>2000</v>
      </c>
      <c r="O1128" s="141" t="s">
        <v>4330</v>
      </c>
      <c r="P1128" s="141" t="s">
        <v>4356</v>
      </c>
    </row>
    <row r="1129" spans="1:16" ht="25.5">
      <c r="A1129" s="141">
        <v>76807</v>
      </c>
      <c r="B1129" s="141" t="s">
        <v>4325</v>
      </c>
      <c r="C1129" s="142">
        <v>41201</v>
      </c>
      <c r="D1129" s="141">
        <v>370</v>
      </c>
      <c r="E1129" s="141" t="str">
        <f t="shared" si="98"/>
        <v>001</v>
      </c>
      <c r="F1129" s="141" t="s">
        <v>4326</v>
      </c>
      <c r="G1129" s="141" t="str">
        <f t="shared" si="102"/>
        <v>0447</v>
      </c>
      <c r="H1129" s="141" t="s">
        <v>748</v>
      </c>
      <c r="I1129" s="141" t="str">
        <f t="shared" si="100"/>
        <v>999</v>
      </c>
      <c r="J1129" s="141" t="s">
        <v>4327</v>
      </c>
      <c r="K1129" s="141">
        <v>997</v>
      </c>
      <c r="L1129" s="141">
        <v>1</v>
      </c>
      <c r="M1129" s="141">
        <v>0</v>
      </c>
      <c r="N1129" s="141">
        <v>0</v>
      </c>
      <c r="O1129" s="141" t="s">
        <v>4351</v>
      </c>
      <c r="P1129" s="141" t="s">
        <v>4704</v>
      </c>
    </row>
    <row r="1130" spans="1:16" ht="25.5">
      <c r="A1130" s="141">
        <v>76807</v>
      </c>
      <c r="B1130" s="141" t="s">
        <v>4325</v>
      </c>
      <c r="C1130" s="142">
        <v>41201</v>
      </c>
      <c r="D1130" s="141">
        <v>370</v>
      </c>
      <c r="E1130" s="141" t="str">
        <f t="shared" si="98"/>
        <v>001</v>
      </c>
      <c r="F1130" s="141" t="s">
        <v>4326</v>
      </c>
      <c r="G1130" s="141" t="str">
        <f t="shared" si="102"/>
        <v>0447</v>
      </c>
      <c r="H1130" s="141" t="s">
        <v>748</v>
      </c>
      <c r="I1130" s="141" t="str">
        <f t="shared" si="100"/>
        <v>999</v>
      </c>
      <c r="J1130" s="141" t="s">
        <v>4327</v>
      </c>
      <c r="K1130" s="141">
        <v>998</v>
      </c>
      <c r="L1130" s="141">
        <v>1</v>
      </c>
      <c r="M1130" s="141">
        <v>0</v>
      </c>
      <c r="N1130" s="141">
        <v>3000</v>
      </c>
      <c r="O1130" s="141" t="s">
        <v>4472</v>
      </c>
      <c r="P1130" s="141" t="s">
        <v>4355</v>
      </c>
    </row>
    <row r="1131" spans="1:16" ht="25.5">
      <c r="A1131" s="141">
        <v>76807</v>
      </c>
      <c r="B1131" s="141" t="s">
        <v>4325</v>
      </c>
      <c r="C1131" s="142">
        <v>41201</v>
      </c>
      <c r="D1131" s="141">
        <v>466</v>
      </c>
      <c r="E1131" s="141" t="str">
        <f t="shared" si="98"/>
        <v>001</v>
      </c>
      <c r="F1131" s="141" t="s">
        <v>4326</v>
      </c>
      <c r="G1131" s="141" t="str">
        <f>"0448"</f>
        <v>0448</v>
      </c>
      <c r="H1131" s="141" t="s">
        <v>749</v>
      </c>
      <c r="I1131" s="141" t="str">
        <f t="shared" si="100"/>
        <v>999</v>
      </c>
      <c r="J1131" s="141" t="s">
        <v>4327</v>
      </c>
      <c r="K1131" s="141">
        <v>979</v>
      </c>
      <c r="L1131" s="141">
        <v>1</v>
      </c>
      <c r="M1131" s="141">
        <v>0</v>
      </c>
      <c r="N1131" s="141">
        <v>2000</v>
      </c>
      <c r="O1131" s="141" t="s">
        <v>4330</v>
      </c>
      <c r="P1131" s="141" t="s">
        <v>4356</v>
      </c>
    </row>
    <row r="1132" spans="1:16" ht="25.5">
      <c r="A1132" s="141">
        <v>76807</v>
      </c>
      <c r="B1132" s="141" t="s">
        <v>4325</v>
      </c>
      <c r="C1132" s="142">
        <v>41201</v>
      </c>
      <c r="D1132" s="141">
        <v>474</v>
      </c>
      <c r="E1132" s="141" t="str">
        <f t="shared" si="98"/>
        <v>001</v>
      </c>
      <c r="F1132" s="141" t="s">
        <v>4326</v>
      </c>
      <c r="G1132" s="141" t="str">
        <f t="shared" ref="G1132:G1137" si="103">"0449"</f>
        <v>0449</v>
      </c>
      <c r="H1132" s="141" t="s">
        <v>557</v>
      </c>
      <c r="I1132" s="141" t="str">
        <f t="shared" si="100"/>
        <v>999</v>
      </c>
      <c r="J1132" s="141" t="s">
        <v>4327</v>
      </c>
      <c r="K1132" s="141">
        <v>1315</v>
      </c>
      <c r="L1132" s="141">
        <v>1</v>
      </c>
      <c r="M1132" s="141">
        <v>0</v>
      </c>
      <c r="N1132" s="141">
        <v>2000</v>
      </c>
      <c r="O1132" s="141" t="s">
        <v>4328</v>
      </c>
      <c r="P1132" s="141" t="s">
        <v>4702</v>
      </c>
    </row>
    <row r="1133" spans="1:16" ht="25.5">
      <c r="A1133" s="141">
        <v>76807</v>
      </c>
      <c r="B1133" s="141" t="s">
        <v>4325</v>
      </c>
      <c r="C1133" s="142">
        <v>41201</v>
      </c>
      <c r="D1133" s="141">
        <v>474</v>
      </c>
      <c r="E1133" s="141" t="str">
        <f t="shared" si="98"/>
        <v>001</v>
      </c>
      <c r="F1133" s="141" t="s">
        <v>4326</v>
      </c>
      <c r="G1133" s="141" t="str">
        <f t="shared" si="103"/>
        <v>0449</v>
      </c>
      <c r="H1133" s="141" t="s">
        <v>557</v>
      </c>
      <c r="I1133" s="141" t="str">
        <f t="shared" si="100"/>
        <v>999</v>
      </c>
      <c r="J1133" s="141" t="s">
        <v>4327</v>
      </c>
      <c r="K1133" s="141">
        <v>1316</v>
      </c>
      <c r="L1133" s="141">
        <v>1</v>
      </c>
      <c r="M1133" s="141">
        <v>0</v>
      </c>
      <c r="N1133" s="141">
        <v>3000</v>
      </c>
      <c r="O1133" s="141" t="s">
        <v>4330</v>
      </c>
      <c r="P1133" s="141" t="s">
        <v>4705</v>
      </c>
    </row>
    <row r="1134" spans="1:16" ht="25.5">
      <c r="A1134" s="141">
        <v>76807</v>
      </c>
      <c r="B1134" s="141" t="s">
        <v>4325</v>
      </c>
      <c r="C1134" s="142">
        <v>41201</v>
      </c>
      <c r="D1134" s="141">
        <v>474</v>
      </c>
      <c r="E1134" s="141" t="str">
        <f t="shared" si="98"/>
        <v>001</v>
      </c>
      <c r="F1134" s="141" t="s">
        <v>4326</v>
      </c>
      <c r="G1134" s="141" t="str">
        <f t="shared" si="103"/>
        <v>0449</v>
      </c>
      <c r="H1134" s="141" t="s">
        <v>557</v>
      </c>
      <c r="I1134" s="141" t="str">
        <f t="shared" si="100"/>
        <v>999</v>
      </c>
      <c r="J1134" s="141" t="s">
        <v>4327</v>
      </c>
      <c r="K1134" s="141">
        <v>2914</v>
      </c>
      <c r="L1134" s="141">
        <v>1</v>
      </c>
      <c r="M1134" s="141">
        <v>0</v>
      </c>
      <c r="N1134" s="141">
        <v>2000</v>
      </c>
      <c r="O1134" s="141" t="s">
        <v>4330</v>
      </c>
      <c r="P1134" s="141" t="s">
        <v>4690</v>
      </c>
    </row>
    <row r="1135" spans="1:16" ht="25.5">
      <c r="A1135" s="141">
        <v>76807</v>
      </c>
      <c r="B1135" s="141" t="s">
        <v>4325</v>
      </c>
      <c r="C1135" s="142">
        <v>41201</v>
      </c>
      <c r="D1135" s="141">
        <v>474</v>
      </c>
      <c r="E1135" s="141" t="str">
        <f t="shared" si="98"/>
        <v>001</v>
      </c>
      <c r="F1135" s="141" t="s">
        <v>4326</v>
      </c>
      <c r="G1135" s="141" t="str">
        <f t="shared" si="103"/>
        <v>0449</v>
      </c>
      <c r="H1135" s="141" t="s">
        <v>557</v>
      </c>
      <c r="I1135" s="141" t="str">
        <f t="shared" si="100"/>
        <v>999</v>
      </c>
      <c r="J1135" s="141" t="s">
        <v>4327</v>
      </c>
      <c r="K1135" s="141">
        <v>2915</v>
      </c>
      <c r="L1135" s="141">
        <v>1</v>
      </c>
      <c r="M1135" s="141">
        <v>0</v>
      </c>
      <c r="N1135" s="141">
        <v>7000</v>
      </c>
      <c r="O1135" s="141" t="s">
        <v>4328</v>
      </c>
      <c r="P1135" s="141" t="s">
        <v>4706</v>
      </c>
    </row>
    <row r="1136" spans="1:16" ht="25.5">
      <c r="A1136" s="141">
        <v>76807</v>
      </c>
      <c r="B1136" s="141" t="s">
        <v>4325</v>
      </c>
      <c r="C1136" s="142">
        <v>41201</v>
      </c>
      <c r="D1136" s="141">
        <v>474</v>
      </c>
      <c r="E1136" s="141" t="str">
        <f t="shared" si="98"/>
        <v>001</v>
      </c>
      <c r="F1136" s="141" t="s">
        <v>4326</v>
      </c>
      <c r="G1136" s="141" t="str">
        <f t="shared" si="103"/>
        <v>0449</v>
      </c>
      <c r="H1136" s="141" t="s">
        <v>557</v>
      </c>
      <c r="I1136" s="141" t="str">
        <f t="shared" si="100"/>
        <v>999</v>
      </c>
      <c r="J1136" s="141" t="s">
        <v>4327</v>
      </c>
      <c r="K1136" s="141">
        <v>2947</v>
      </c>
      <c r="L1136" s="141">
        <v>4</v>
      </c>
      <c r="M1136" s="141">
        <v>0</v>
      </c>
      <c r="N1136" s="141">
        <v>9000</v>
      </c>
      <c r="O1136" s="141" t="s">
        <v>4334</v>
      </c>
      <c r="P1136" s="141" t="s">
        <v>4340</v>
      </c>
    </row>
    <row r="1137" spans="1:16" ht="25.5">
      <c r="A1137" s="141">
        <v>76807</v>
      </c>
      <c r="B1137" s="141" t="s">
        <v>4325</v>
      </c>
      <c r="C1137" s="142">
        <v>41201</v>
      </c>
      <c r="D1137" s="141">
        <v>474</v>
      </c>
      <c r="E1137" s="141" t="str">
        <f t="shared" si="98"/>
        <v>001</v>
      </c>
      <c r="F1137" s="141" t="s">
        <v>4326</v>
      </c>
      <c r="G1137" s="141" t="str">
        <f t="shared" si="103"/>
        <v>0449</v>
      </c>
      <c r="H1137" s="141" t="s">
        <v>557</v>
      </c>
      <c r="I1137" s="141" t="str">
        <f t="shared" si="100"/>
        <v>999</v>
      </c>
      <c r="J1137" s="141" t="s">
        <v>4327</v>
      </c>
      <c r="K1137" s="141">
        <v>2960</v>
      </c>
      <c r="L1137" s="141">
        <v>1</v>
      </c>
      <c r="M1137" s="141">
        <v>0</v>
      </c>
      <c r="N1137" s="141">
        <v>1000</v>
      </c>
      <c r="O1137" s="141" t="s">
        <v>4659</v>
      </c>
      <c r="P1137" s="141" t="s">
        <v>4695</v>
      </c>
    </row>
    <row r="1138" spans="1:16" ht="25.5">
      <c r="A1138" s="141">
        <v>76807</v>
      </c>
      <c r="B1138" s="141" t="s">
        <v>4325</v>
      </c>
      <c r="C1138" s="142">
        <v>41201</v>
      </c>
      <c r="D1138" s="141">
        <v>1140</v>
      </c>
      <c r="E1138" s="141" t="str">
        <f t="shared" si="98"/>
        <v>001</v>
      </c>
      <c r="F1138" s="141" t="s">
        <v>4326</v>
      </c>
      <c r="G1138" s="141" t="str">
        <f>"0451"</f>
        <v>0451</v>
      </c>
      <c r="H1138" s="141" t="s">
        <v>542</v>
      </c>
      <c r="I1138" s="141" t="str">
        <f t="shared" si="100"/>
        <v>999</v>
      </c>
      <c r="J1138" s="141" t="s">
        <v>4327</v>
      </c>
      <c r="K1138" s="141">
        <v>2899</v>
      </c>
      <c r="L1138" s="141">
        <v>1</v>
      </c>
      <c r="M1138" s="141">
        <v>0</v>
      </c>
      <c r="N1138" s="141">
        <v>2000</v>
      </c>
      <c r="O1138" s="141" t="s">
        <v>4330</v>
      </c>
      <c r="P1138" s="141" t="s">
        <v>4356</v>
      </c>
    </row>
    <row r="1139" spans="1:16" ht="25.5">
      <c r="A1139" s="141">
        <v>76807</v>
      </c>
      <c r="B1139" s="141" t="s">
        <v>4325</v>
      </c>
      <c r="C1139" s="142">
        <v>41201</v>
      </c>
      <c r="D1139" s="141">
        <v>725</v>
      </c>
      <c r="E1139" s="141" t="str">
        <f t="shared" si="98"/>
        <v>001</v>
      </c>
      <c r="F1139" s="141" t="s">
        <v>4326</v>
      </c>
      <c r="G1139" s="141" t="str">
        <f>"0454"</f>
        <v>0454</v>
      </c>
      <c r="H1139" s="141" t="s">
        <v>982</v>
      </c>
      <c r="I1139" s="141" t="str">
        <f t="shared" si="100"/>
        <v>999</v>
      </c>
      <c r="J1139" s="141" t="s">
        <v>4327</v>
      </c>
      <c r="K1139" s="141">
        <v>2230</v>
      </c>
      <c r="L1139" s="141">
        <v>1</v>
      </c>
      <c r="M1139" s="141">
        <v>0</v>
      </c>
      <c r="N1139" s="141">
        <v>9000</v>
      </c>
      <c r="O1139" s="141" t="s">
        <v>4328</v>
      </c>
      <c r="P1139" s="141" t="s">
        <v>4336</v>
      </c>
    </row>
    <row r="1140" spans="1:16" ht="25.5">
      <c r="A1140" s="141">
        <v>76807</v>
      </c>
      <c r="B1140" s="141" t="s">
        <v>4325</v>
      </c>
      <c r="C1140" s="142">
        <v>41201</v>
      </c>
      <c r="D1140" s="141">
        <v>725</v>
      </c>
      <c r="E1140" s="141" t="str">
        <f t="shared" si="98"/>
        <v>001</v>
      </c>
      <c r="F1140" s="141" t="s">
        <v>4326</v>
      </c>
      <c r="G1140" s="141" t="str">
        <f>"0454"</f>
        <v>0454</v>
      </c>
      <c r="H1140" s="141" t="s">
        <v>982</v>
      </c>
      <c r="I1140" s="141" t="str">
        <f t="shared" si="100"/>
        <v>999</v>
      </c>
      <c r="J1140" s="141" t="s">
        <v>4327</v>
      </c>
      <c r="K1140" s="141">
        <v>2231</v>
      </c>
      <c r="L1140" s="141">
        <v>6</v>
      </c>
      <c r="M1140" s="141">
        <v>0</v>
      </c>
      <c r="N1140" s="141">
        <v>9000</v>
      </c>
      <c r="O1140" s="141" t="s">
        <v>4334</v>
      </c>
      <c r="P1140" s="141" t="s">
        <v>4363</v>
      </c>
    </row>
    <row r="1141" spans="1:16" ht="25.5">
      <c r="A1141" s="141">
        <v>76807</v>
      </c>
      <c r="B1141" s="141" t="s">
        <v>4325</v>
      </c>
      <c r="C1141" s="142">
        <v>41201</v>
      </c>
      <c r="D1141" s="141">
        <v>725</v>
      </c>
      <c r="E1141" s="141" t="str">
        <f t="shared" si="98"/>
        <v>001</v>
      </c>
      <c r="F1141" s="141" t="s">
        <v>4326</v>
      </c>
      <c r="G1141" s="141" t="str">
        <f>"0454"</f>
        <v>0454</v>
      </c>
      <c r="H1141" s="141" t="s">
        <v>982</v>
      </c>
      <c r="I1141" s="141" t="str">
        <f t="shared" si="100"/>
        <v>999</v>
      </c>
      <c r="J1141" s="141" t="s">
        <v>4327</v>
      </c>
      <c r="K1141" s="141">
        <v>2232</v>
      </c>
      <c r="L1141" s="141">
        <v>1</v>
      </c>
      <c r="M1141" s="141">
        <v>0</v>
      </c>
      <c r="N1141" s="141">
        <v>4000</v>
      </c>
      <c r="O1141" s="141" t="s">
        <v>4330</v>
      </c>
      <c r="P1141" s="141" t="s">
        <v>4348</v>
      </c>
    </row>
    <row r="1142" spans="1:16" ht="25.5">
      <c r="A1142" s="141">
        <v>76807</v>
      </c>
      <c r="B1142" s="141" t="s">
        <v>4325</v>
      </c>
      <c r="C1142" s="142">
        <v>41201</v>
      </c>
      <c r="D1142" s="141">
        <v>725</v>
      </c>
      <c r="E1142" s="141" t="str">
        <f t="shared" si="98"/>
        <v>001</v>
      </c>
      <c r="F1142" s="141" t="s">
        <v>4326</v>
      </c>
      <c r="G1142" s="141" t="str">
        <f>"0454"</f>
        <v>0454</v>
      </c>
      <c r="H1142" s="141" t="s">
        <v>982</v>
      </c>
      <c r="I1142" s="141" t="str">
        <f t="shared" si="100"/>
        <v>999</v>
      </c>
      <c r="J1142" s="141" t="s">
        <v>4327</v>
      </c>
      <c r="K1142" s="141">
        <v>2233</v>
      </c>
      <c r="L1142" s="141">
        <v>1</v>
      </c>
      <c r="M1142" s="141">
        <v>0</v>
      </c>
      <c r="N1142" s="141">
        <v>4000</v>
      </c>
      <c r="O1142" s="141" t="s">
        <v>4397</v>
      </c>
      <c r="P1142" s="141" t="s">
        <v>4398</v>
      </c>
    </row>
    <row r="1143" spans="1:16" ht="25.5">
      <c r="A1143" s="141">
        <v>76807</v>
      </c>
      <c r="B1143" s="141" t="s">
        <v>4325</v>
      </c>
      <c r="C1143" s="142">
        <v>41201</v>
      </c>
      <c r="D1143" s="141">
        <v>725</v>
      </c>
      <c r="E1143" s="141" t="str">
        <f t="shared" si="98"/>
        <v>001</v>
      </c>
      <c r="F1143" s="141" t="s">
        <v>4326</v>
      </c>
      <c r="G1143" s="141" t="str">
        <f>"0454"</f>
        <v>0454</v>
      </c>
      <c r="H1143" s="141" t="s">
        <v>982</v>
      </c>
      <c r="I1143" s="141" t="str">
        <f t="shared" si="100"/>
        <v>999</v>
      </c>
      <c r="J1143" s="141" t="s">
        <v>4327</v>
      </c>
      <c r="K1143" s="141">
        <v>2234</v>
      </c>
      <c r="L1143" s="141">
        <v>1</v>
      </c>
      <c r="M1143" s="141">
        <v>0</v>
      </c>
      <c r="N1143" s="141">
        <v>2000</v>
      </c>
      <c r="O1143" s="141" t="s">
        <v>4408</v>
      </c>
      <c r="P1143" s="141"/>
    </row>
    <row r="1144" spans="1:16" ht="25.5">
      <c r="A1144" s="141">
        <v>76807</v>
      </c>
      <c r="B1144" s="141" t="s">
        <v>4325</v>
      </c>
      <c r="C1144" s="142">
        <v>41201</v>
      </c>
      <c r="D1144" s="141">
        <v>724</v>
      </c>
      <c r="E1144" s="141" t="str">
        <f t="shared" si="98"/>
        <v>001</v>
      </c>
      <c r="F1144" s="141" t="s">
        <v>4326</v>
      </c>
      <c r="G1144" s="141" t="str">
        <f>"0455"</f>
        <v>0455</v>
      </c>
      <c r="H1144" s="141" t="s">
        <v>981</v>
      </c>
      <c r="I1144" s="141" t="str">
        <f t="shared" si="100"/>
        <v>999</v>
      </c>
      <c r="J1144" s="141" t="s">
        <v>4327</v>
      </c>
      <c r="K1144" s="141">
        <v>2227</v>
      </c>
      <c r="L1144" s="141">
        <v>1</v>
      </c>
      <c r="M1144" s="141">
        <v>0</v>
      </c>
      <c r="N1144" s="141">
        <v>10000</v>
      </c>
      <c r="O1144" s="141" t="s">
        <v>4341</v>
      </c>
      <c r="P1144" s="141" t="s">
        <v>4707</v>
      </c>
    </row>
    <row r="1145" spans="1:16" ht="25.5">
      <c r="A1145" s="141">
        <v>76807</v>
      </c>
      <c r="B1145" s="141" t="s">
        <v>4325</v>
      </c>
      <c r="C1145" s="142">
        <v>41201</v>
      </c>
      <c r="D1145" s="141">
        <v>724</v>
      </c>
      <c r="E1145" s="141" t="str">
        <f t="shared" si="98"/>
        <v>001</v>
      </c>
      <c r="F1145" s="141" t="s">
        <v>4326</v>
      </c>
      <c r="G1145" s="141" t="str">
        <f>"0455"</f>
        <v>0455</v>
      </c>
      <c r="H1145" s="141" t="s">
        <v>981</v>
      </c>
      <c r="I1145" s="141" t="str">
        <f t="shared" si="100"/>
        <v>999</v>
      </c>
      <c r="J1145" s="141" t="s">
        <v>4327</v>
      </c>
      <c r="K1145" s="141">
        <v>2228</v>
      </c>
      <c r="L1145" s="141">
        <v>1</v>
      </c>
      <c r="M1145" s="141">
        <v>0</v>
      </c>
      <c r="N1145" s="141">
        <v>3000</v>
      </c>
      <c r="O1145" s="141" t="s">
        <v>4463</v>
      </c>
      <c r="P1145" s="141" t="s">
        <v>4704</v>
      </c>
    </row>
    <row r="1146" spans="1:16" ht="25.5">
      <c r="A1146" s="141">
        <v>76807</v>
      </c>
      <c r="B1146" s="141" t="s">
        <v>4325</v>
      </c>
      <c r="C1146" s="142">
        <v>41201</v>
      </c>
      <c r="D1146" s="141">
        <v>724</v>
      </c>
      <c r="E1146" s="141" t="str">
        <f t="shared" si="98"/>
        <v>001</v>
      </c>
      <c r="F1146" s="141" t="s">
        <v>4326</v>
      </c>
      <c r="G1146" s="141" t="str">
        <f>"0455"</f>
        <v>0455</v>
      </c>
      <c r="H1146" s="141" t="s">
        <v>981</v>
      </c>
      <c r="I1146" s="141" t="str">
        <f t="shared" si="100"/>
        <v>999</v>
      </c>
      <c r="J1146" s="141" t="s">
        <v>4327</v>
      </c>
      <c r="K1146" s="141">
        <v>2229</v>
      </c>
      <c r="L1146" s="141">
        <v>1</v>
      </c>
      <c r="M1146" s="141">
        <v>0</v>
      </c>
      <c r="N1146" s="141">
        <v>4000</v>
      </c>
      <c r="O1146" s="141" t="s">
        <v>4397</v>
      </c>
      <c r="P1146" s="141" t="s">
        <v>4398</v>
      </c>
    </row>
    <row r="1147" spans="1:16" ht="25.5">
      <c r="A1147" s="141">
        <v>76807</v>
      </c>
      <c r="B1147" s="141" t="s">
        <v>4325</v>
      </c>
      <c r="C1147" s="142">
        <v>41201</v>
      </c>
      <c r="D1147" s="141">
        <v>367</v>
      </c>
      <c r="E1147" s="141" t="str">
        <f t="shared" si="98"/>
        <v>001</v>
      </c>
      <c r="F1147" s="141" t="s">
        <v>4326</v>
      </c>
      <c r="G1147" s="141" t="str">
        <f>"0456"</f>
        <v>0456</v>
      </c>
      <c r="H1147" s="141" t="s">
        <v>747</v>
      </c>
      <c r="I1147" s="141" t="str">
        <f t="shared" si="100"/>
        <v>999</v>
      </c>
      <c r="J1147" s="141" t="s">
        <v>4327</v>
      </c>
      <c r="K1147" s="141">
        <v>796</v>
      </c>
      <c r="L1147" s="141">
        <v>1</v>
      </c>
      <c r="M1147" s="141">
        <v>0</v>
      </c>
      <c r="N1147" s="141">
        <v>4000</v>
      </c>
      <c r="O1147" s="141" t="s">
        <v>4330</v>
      </c>
      <c r="P1147" s="141" t="s">
        <v>4348</v>
      </c>
    </row>
    <row r="1148" spans="1:16" ht="25.5">
      <c r="A1148" s="141">
        <v>76807</v>
      </c>
      <c r="B1148" s="141" t="s">
        <v>4325</v>
      </c>
      <c r="C1148" s="142">
        <v>41201</v>
      </c>
      <c r="D1148" s="141">
        <v>367</v>
      </c>
      <c r="E1148" s="141" t="str">
        <f t="shared" si="98"/>
        <v>001</v>
      </c>
      <c r="F1148" s="141" t="s">
        <v>4326</v>
      </c>
      <c r="G1148" s="141" t="str">
        <f>"0456"</f>
        <v>0456</v>
      </c>
      <c r="H1148" s="141" t="s">
        <v>747</v>
      </c>
      <c r="I1148" s="141" t="str">
        <f t="shared" si="100"/>
        <v>999</v>
      </c>
      <c r="J1148" s="141" t="s">
        <v>4327</v>
      </c>
      <c r="K1148" s="141">
        <v>797</v>
      </c>
      <c r="L1148" s="141">
        <v>1</v>
      </c>
      <c r="M1148" s="141">
        <v>0</v>
      </c>
      <c r="N1148" s="141">
        <v>5000</v>
      </c>
      <c r="O1148" s="141" t="s">
        <v>4337</v>
      </c>
      <c r="P1148" s="141" t="s">
        <v>4430</v>
      </c>
    </row>
    <row r="1149" spans="1:16" ht="25.5">
      <c r="A1149" s="141">
        <v>76807</v>
      </c>
      <c r="B1149" s="141" t="s">
        <v>4325</v>
      </c>
      <c r="C1149" s="142">
        <v>41201</v>
      </c>
      <c r="D1149" s="141">
        <v>367</v>
      </c>
      <c r="E1149" s="141" t="str">
        <f t="shared" si="98"/>
        <v>001</v>
      </c>
      <c r="F1149" s="141" t="s">
        <v>4326</v>
      </c>
      <c r="G1149" s="141" t="str">
        <f>"0456"</f>
        <v>0456</v>
      </c>
      <c r="H1149" s="141" t="s">
        <v>747</v>
      </c>
      <c r="I1149" s="141" t="str">
        <f t="shared" si="100"/>
        <v>999</v>
      </c>
      <c r="J1149" s="141" t="s">
        <v>4327</v>
      </c>
      <c r="K1149" s="141">
        <v>1003</v>
      </c>
      <c r="L1149" s="141">
        <v>1</v>
      </c>
      <c r="M1149" s="141">
        <v>0</v>
      </c>
      <c r="N1149" s="141">
        <v>2000</v>
      </c>
      <c r="O1149" s="141" t="s">
        <v>4330</v>
      </c>
      <c r="P1149" s="141" t="s">
        <v>4356</v>
      </c>
    </row>
    <row r="1150" spans="1:16" ht="25.5">
      <c r="A1150" s="141">
        <v>76807</v>
      </c>
      <c r="B1150" s="141" t="s">
        <v>4325</v>
      </c>
      <c r="C1150" s="142">
        <v>41201</v>
      </c>
      <c r="D1150" s="141">
        <v>367</v>
      </c>
      <c r="E1150" s="141" t="str">
        <f t="shared" si="98"/>
        <v>001</v>
      </c>
      <c r="F1150" s="141" t="s">
        <v>4326</v>
      </c>
      <c r="G1150" s="141" t="str">
        <f>"0456"</f>
        <v>0456</v>
      </c>
      <c r="H1150" s="141" t="s">
        <v>747</v>
      </c>
      <c r="I1150" s="141" t="str">
        <f t="shared" si="100"/>
        <v>999</v>
      </c>
      <c r="J1150" s="141" t="s">
        <v>4327</v>
      </c>
      <c r="K1150" s="141">
        <v>1004</v>
      </c>
      <c r="L1150" s="141">
        <v>1</v>
      </c>
      <c r="M1150" s="141">
        <v>0</v>
      </c>
      <c r="N1150" s="141">
        <v>4000</v>
      </c>
      <c r="O1150" s="141" t="s">
        <v>4332</v>
      </c>
      <c r="P1150" s="141" t="s">
        <v>4389</v>
      </c>
    </row>
    <row r="1151" spans="1:16" ht="25.5">
      <c r="A1151" s="141">
        <v>76807</v>
      </c>
      <c r="B1151" s="141" t="s">
        <v>4325</v>
      </c>
      <c r="C1151" s="142">
        <v>41201</v>
      </c>
      <c r="D1151" s="141">
        <v>414</v>
      </c>
      <c r="E1151" s="141" t="str">
        <f t="shared" si="98"/>
        <v>001</v>
      </c>
      <c r="F1151" s="141" t="s">
        <v>4326</v>
      </c>
      <c r="G1151" s="141" t="str">
        <f>"0458"</f>
        <v>0458</v>
      </c>
      <c r="H1151" s="141" t="s">
        <v>963</v>
      </c>
      <c r="I1151" s="141" t="str">
        <f t="shared" si="100"/>
        <v>999</v>
      </c>
      <c r="J1151" s="141" t="s">
        <v>4327</v>
      </c>
      <c r="K1151" s="141">
        <v>1132</v>
      </c>
      <c r="L1151" s="141">
        <v>1</v>
      </c>
      <c r="M1151" s="141">
        <v>0</v>
      </c>
      <c r="N1151" s="141">
        <v>3000</v>
      </c>
      <c r="O1151" s="141" t="s">
        <v>4330</v>
      </c>
      <c r="P1151" s="141" t="s">
        <v>4331</v>
      </c>
    </row>
    <row r="1152" spans="1:16" ht="25.5">
      <c r="A1152" s="141">
        <v>76807</v>
      </c>
      <c r="B1152" s="141" t="s">
        <v>4325</v>
      </c>
      <c r="C1152" s="142">
        <v>41201</v>
      </c>
      <c r="D1152" s="141">
        <v>414</v>
      </c>
      <c r="E1152" s="141" t="str">
        <f t="shared" si="98"/>
        <v>001</v>
      </c>
      <c r="F1152" s="141" t="s">
        <v>4326</v>
      </c>
      <c r="G1152" s="141" t="str">
        <f>"0458"</f>
        <v>0458</v>
      </c>
      <c r="H1152" s="141" t="s">
        <v>963</v>
      </c>
      <c r="I1152" s="141" t="str">
        <f t="shared" si="100"/>
        <v>999</v>
      </c>
      <c r="J1152" s="141" t="s">
        <v>4327</v>
      </c>
      <c r="K1152" s="141">
        <v>1133</v>
      </c>
      <c r="L1152" s="141">
        <v>1</v>
      </c>
      <c r="M1152" s="141">
        <v>0</v>
      </c>
      <c r="N1152" s="141">
        <v>2000</v>
      </c>
      <c r="O1152" s="141" t="s">
        <v>4351</v>
      </c>
      <c r="P1152" s="141" t="s">
        <v>4702</v>
      </c>
    </row>
    <row r="1153" spans="1:16" ht="25.5">
      <c r="A1153" s="141">
        <v>76807</v>
      </c>
      <c r="B1153" s="141" t="s">
        <v>4325</v>
      </c>
      <c r="C1153" s="142">
        <v>41201</v>
      </c>
      <c r="D1153" s="141">
        <v>414</v>
      </c>
      <c r="E1153" s="141" t="str">
        <f t="shared" si="98"/>
        <v>001</v>
      </c>
      <c r="F1153" s="141" t="s">
        <v>4326</v>
      </c>
      <c r="G1153" s="141" t="str">
        <f>"0458"</f>
        <v>0458</v>
      </c>
      <c r="H1153" s="141" t="s">
        <v>963</v>
      </c>
      <c r="I1153" s="141" t="str">
        <f t="shared" si="100"/>
        <v>999</v>
      </c>
      <c r="J1153" s="141" t="s">
        <v>4327</v>
      </c>
      <c r="K1153" s="141">
        <v>1134</v>
      </c>
      <c r="L1153" s="141">
        <v>1</v>
      </c>
      <c r="M1153" s="141">
        <v>0</v>
      </c>
      <c r="N1153" s="141">
        <v>2000</v>
      </c>
      <c r="O1153" s="141" t="s">
        <v>4328</v>
      </c>
      <c r="P1153" s="141" t="s">
        <v>4702</v>
      </c>
    </row>
    <row r="1154" spans="1:16" ht="25.5">
      <c r="A1154" s="141">
        <v>76807</v>
      </c>
      <c r="B1154" s="141" t="s">
        <v>4325</v>
      </c>
      <c r="C1154" s="142">
        <v>41201</v>
      </c>
      <c r="D1154" s="141">
        <v>414</v>
      </c>
      <c r="E1154" s="141" t="str">
        <f t="shared" ref="E1154:E1217" si="104">"001"</f>
        <v>001</v>
      </c>
      <c r="F1154" s="141" t="s">
        <v>4326</v>
      </c>
      <c r="G1154" s="141" t="str">
        <f>"0458"</f>
        <v>0458</v>
      </c>
      <c r="H1154" s="141" t="s">
        <v>963</v>
      </c>
      <c r="I1154" s="141" t="str">
        <f t="shared" ref="I1154:I1217" si="105">"999"</f>
        <v>999</v>
      </c>
      <c r="J1154" s="141" t="s">
        <v>4327</v>
      </c>
      <c r="K1154" s="141">
        <v>1135</v>
      </c>
      <c r="L1154" s="141">
        <v>8</v>
      </c>
      <c r="M1154" s="141">
        <v>0</v>
      </c>
      <c r="N1154" s="141">
        <v>24000</v>
      </c>
      <c r="O1154" s="141" t="s">
        <v>4357</v>
      </c>
      <c r="P1154" s="141" t="s">
        <v>4340</v>
      </c>
    </row>
    <row r="1155" spans="1:16" ht="25.5">
      <c r="A1155" s="141">
        <v>76807</v>
      </c>
      <c r="B1155" s="141" t="s">
        <v>4325</v>
      </c>
      <c r="C1155" s="142">
        <v>41201</v>
      </c>
      <c r="D1155" s="141">
        <v>1163</v>
      </c>
      <c r="E1155" s="141" t="str">
        <f t="shared" si="104"/>
        <v>001</v>
      </c>
      <c r="F1155" s="141" t="s">
        <v>4326</v>
      </c>
      <c r="G1155" s="141" t="str">
        <f>"0459"</f>
        <v>0459</v>
      </c>
      <c r="H1155" s="141" t="s">
        <v>934</v>
      </c>
      <c r="I1155" s="141" t="str">
        <f t="shared" si="105"/>
        <v>999</v>
      </c>
      <c r="J1155" s="141" t="s">
        <v>4327</v>
      </c>
      <c r="K1155" s="141">
        <v>2979</v>
      </c>
      <c r="L1155" s="141">
        <v>4</v>
      </c>
      <c r="M1155" s="141">
        <v>0</v>
      </c>
      <c r="N1155" s="141">
        <v>12000</v>
      </c>
      <c r="O1155" s="141" t="s">
        <v>4334</v>
      </c>
      <c r="P1155" s="141" t="s">
        <v>4361</v>
      </c>
    </row>
    <row r="1156" spans="1:16" ht="25.5">
      <c r="A1156" s="141">
        <v>76807</v>
      </c>
      <c r="B1156" s="141" t="s">
        <v>4325</v>
      </c>
      <c r="C1156" s="142">
        <v>41201</v>
      </c>
      <c r="D1156" s="141">
        <v>1163</v>
      </c>
      <c r="E1156" s="141" t="str">
        <f t="shared" si="104"/>
        <v>001</v>
      </c>
      <c r="F1156" s="141" t="s">
        <v>4326</v>
      </c>
      <c r="G1156" s="141" t="str">
        <f>"0459"</f>
        <v>0459</v>
      </c>
      <c r="H1156" s="141" t="s">
        <v>934</v>
      </c>
      <c r="I1156" s="141" t="str">
        <f t="shared" si="105"/>
        <v>999</v>
      </c>
      <c r="J1156" s="141" t="s">
        <v>4327</v>
      </c>
      <c r="K1156" s="141">
        <v>2980</v>
      </c>
      <c r="L1156" s="141">
        <v>1</v>
      </c>
      <c r="M1156" s="141">
        <v>0</v>
      </c>
      <c r="N1156" s="141">
        <v>8000</v>
      </c>
      <c r="O1156" s="141" t="s">
        <v>4328</v>
      </c>
      <c r="P1156" s="141" t="s">
        <v>4708</v>
      </c>
    </row>
    <row r="1157" spans="1:16" ht="25.5">
      <c r="A1157" s="141">
        <v>76807</v>
      </c>
      <c r="B1157" s="141" t="s">
        <v>4325</v>
      </c>
      <c r="C1157" s="142">
        <v>41201</v>
      </c>
      <c r="D1157" s="141">
        <v>1163</v>
      </c>
      <c r="E1157" s="141" t="str">
        <f t="shared" si="104"/>
        <v>001</v>
      </c>
      <c r="F1157" s="141" t="s">
        <v>4326</v>
      </c>
      <c r="G1157" s="141" t="str">
        <f>"0459"</f>
        <v>0459</v>
      </c>
      <c r="H1157" s="141" t="s">
        <v>934</v>
      </c>
      <c r="I1157" s="141" t="str">
        <f t="shared" si="105"/>
        <v>999</v>
      </c>
      <c r="J1157" s="141" t="s">
        <v>4327</v>
      </c>
      <c r="K1157" s="141">
        <v>2981</v>
      </c>
      <c r="L1157" s="141">
        <v>1</v>
      </c>
      <c r="M1157" s="141">
        <v>0</v>
      </c>
      <c r="N1157" s="141">
        <v>4000</v>
      </c>
      <c r="O1157" s="141" t="s">
        <v>4330</v>
      </c>
      <c r="P1157" s="141" t="s">
        <v>4348</v>
      </c>
    </row>
    <row r="1158" spans="1:16" ht="25.5">
      <c r="A1158" s="141">
        <v>76807</v>
      </c>
      <c r="B1158" s="141" t="s">
        <v>4325</v>
      </c>
      <c r="C1158" s="142">
        <v>41201</v>
      </c>
      <c r="D1158" s="141">
        <v>1163</v>
      </c>
      <c r="E1158" s="141" t="str">
        <f t="shared" si="104"/>
        <v>001</v>
      </c>
      <c r="F1158" s="141" t="s">
        <v>4326</v>
      </c>
      <c r="G1158" s="141" t="str">
        <f>"0459"</f>
        <v>0459</v>
      </c>
      <c r="H1158" s="141" t="s">
        <v>934</v>
      </c>
      <c r="I1158" s="141" t="str">
        <f t="shared" si="105"/>
        <v>999</v>
      </c>
      <c r="J1158" s="141" t="s">
        <v>4327</v>
      </c>
      <c r="K1158" s="141">
        <v>2982</v>
      </c>
      <c r="L1158" s="141">
        <v>1</v>
      </c>
      <c r="M1158" s="141">
        <v>0</v>
      </c>
      <c r="N1158" s="141">
        <v>1000</v>
      </c>
      <c r="O1158" s="141" t="s">
        <v>4350</v>
      </c>
      <c r="P1158" s="141"/>
    </row>
    <row r="1159" spans="1:16" ht="25.5">
      <c r="A1159" s="141">
        <v>76807</v>
      </c>
      <c r="B1159" s="141" t="s">
        <v>4325</v>
      </c>
      <c r="C1159" s="142">
        <v>41201</v>
      </c>
      <c r="D1159" s="141">
        <v>1162</v>
      </c>
      <c r="E1159" s="141" t="str">
        <f t="shared" si="104"/>
        <v>001</v>
      </c>
      <c r="F1159" s="141" t="s">
        <v>4326</v>
      </c>
      <c r="G1159" s="141" t="str">
        <f>"0460"</f>
        <v>0460</v>
      </c>
      <c r="H1159" s="141" t="s">
        <v>931</v>
      </c>
      <c r="I1159" s="141" t="str">
        <f t="shared" si="105"/>
        <v>999</v>
      </c>
      <c r="J1159" s="141" t="s">
        <v>4327</v>
      </c>
      <c r="K1159" s="141">
        <v>2974</v>
      </c>
      <c r="L1159" s="141">
        <v>1</v>
      </c>
      <c r="M1159" s="141">
        <v>0</v>
      </c>
      <c r="N1159" s="141">
        <v>3000</v>
      </c>
      <c r="O1159" s="141" t="s">
        <v>4434</v>
      </c>
      <c r="P1159" s="141"/>
    </row>
    <row r="1160" spans="1:16" ht="25.5">
      <c r="A1160" s="141">
        <v>76807</v>
      </c>
      <c r="B1160" s="141" t="s">
        <v>4325</v>
      </c>
      <c r="C1160" s="142">
        <v>41201</v>
      </c>
      <c r="D1160" s="141">
        <v>1162</v>
      </c>
      <c r="E1160" s="141" t="str">
        <f t="shared" si="104"/>
        <v>001</v>
      </c>
      <c r="F1160" s="141" t="s">
        <v>4326</v>
      </c>
      <c r="G1160" s="141" t="str">
        <f>"0460"</f>
        <v>0460</v>
      </c>
      <c r="H1160" s="141" t="s">
        <v>931</v>
      </c>
      <c r="I1160" s="141" t="str">
        <f t="shared" si="105"/>
        <v>999</v>
      </c>
      <c r="J1160" s="141" t="s">
        <v>4327</v>
      </c>
      <c r="K1160" s="141">
        <v>2975</v>
      </c>
      <c r="L1160" s="141">
        <v>1</v>
      </c>
      <c r="M1160" s="141">
        <v>0</v>
      </c>
      <c r="N1160" s="141">
        <v>1000</v>
      </c>
      <c r="O1160" s="141" t="s">
        <v>4381</v>
      </c>
      <c r="P1160" s="141"/>
    </row>
    <row r="1161" spans="1:16" ht="25.5">
      <c r="A1161" s="141">
        <v>76807</v>
      </c>
      <c r="B1161" s="141" t="s">
        <v>4325</v>
      </c>
      <c r="C1161" s="142">
        <v>41201</v>
      </c>
      <c r="D1161" s="141">
        <v>1162</v>
      </c>
      <c r="E1161" s="141" t="str">
        <f t="shared" si="104"/>
        <v>001</v>
      </c>
      <c r="F1161" s="141" t="s">
        <v>4326</v>
      </c>
      <c r="G1161" s="141" t="str">
        <f>"0460"</f>
        <v>0460</v>
      </c>
      <c r="H1161" s="141" t="s">
        <v>931</v>
      </c>
      <c r="I1161" s="141" t="str">
        <f t="shared" si="105"/>
        <v>999</v>
      </c>
      <c r="J1161" s="141" t="s">
        <v>4327</v>
      </c>
      <c r="K1161" s="141">
        <v>2976</v>
      </c>
      <c r="L1161" s="141">
        <v>8</v>
      </c>
      <c r="M1161" s="141">
        <v>0</v>
      </c>
      <c r="N1161" s="141">
        <v>24000</v>
      </c>
      <c r="O1161" s="141" t="s">
        <v>4334</v>
      </c>
      <c r="P1161" s="141" t="s">
        <v>4361</v>
      </c>
    </row>
    <row r="1162" spans="1:16" ht="25.5">
      <c r="A1162" s="141">
        <v>76807</v>
      </c>
      <c r="B1162" s="141" t="s">
        <v>4325</v>
      </c>
      <c r="C1162" s="142">
        <v>41201</v>
      </c>
      <c r="D1162" s="141">
        <v>1162</v>
      </c>
      <c r="E1162" s="141" t="str">
        <f t="shared" si="104"/>
        <v>001</v>
      </c>
      <c r="F1162" s="141" t="s">
        <v>4326</v>
      </c>
      <c r="G1162" s="141" t="str">
        <f>"0460"</f>
        <v>0460</v>
      </c>
      <c r="H1162" s="141" t="s">
        <v>931</v>
      </c>
      <c r="I1162" s="141" t="str">
        <f t="shared" si="105"/>
        <v>999</v>
      </c>
      <c r="J1162" s="141" t="s">
        <v>4327</v>
      </c>
      <c r="K1162" s="141">
        <v>2977</v>
      </c>
      <c r="L1162" s="141">
        <v>1</v>
      </c>
      <c r="M1162" s="141">
        <v>0</v>
      </c>
      <c r="N1162" s="141">
        <v>3000</v>
      </c>
      <c r="O1162" s="141" t="s">
        <v>4330</v>
      </c>
      <c r="P1162" s="141" t="s">
        <v>4331</v>
      </c>
    </row>
    <row r="1163" spans="1:16" ht="25.5">
      <c r="A1163" s="141">
        <v>76807</v>
      </c>
      <c r="B1163" s="141" t="s">
        <v>4325</v>
      </c>
      <c r="C1163" s="142">
        <v>41201</v>
      </c>
      <c r="D1163" s="141">
        <v>1162</v>
      </c>
      <c r="E1163" s="141" t="str">
        <f t="shared" si="104"/>
        <v>001</v>
      </c>
      <c r="F1163" s="141" t="s">
        <v>4326</v>
      </c>
      <c r="G1163" s="141" t="str">
        <f>"0460"</f>
        <v>0460</v>
      </c>
      <c r="H1163" s="141" t="s">
        <v>931</v>
      </c>
      <c r="I1163" s="141" t="str">
        <f t="shared" si="105"/>
        <v>999</v>
      </c>
      <c r="J1163" s="141" t="s">
        <v>4327</v>
      </c>
      <c r="K1163" s="141">
        <v>2978</v>
      </c>
      <c r="L1163" s="141">
        <v>1</v>
      </c>
      <c r="M1163" s="141">
        <v>0</v>
      </c>
      <c r="N1163" s="141">
        <v>5000</v>
      </c>
      <c r="O1163" s="141" t="s">
        <v>4328</v>
      </c>
      <c r="P1163" s="141" t="s">
        <v>4699</v>
      </c>
    </row>
    <row r="1164" spans="1:16" ht="25.5">
      <c r="A1164" s="141">
        <v>76807</v>
      </c>
      <c r="B1164" s="141" t="s">
        <v>4325</v>
      </c>
      <c r="C1164" s="142">
        <v>41201</v>
      </c>
      <c r="D1164" s="141">
        <v>473</v>
      </c>
      <c r="E1164" s="141" t="str">
        <f t="shared" si="104"/>
        <v>001</v>
      </c>
      <c r="F1164" s="141" t="s">
        <v>4326</v>
      </c>
      <c r="G1164" s="141" t="str">
        <f>"0461"</f>
        <v>0461</v>
      </c>
      <c r="H1164" s="141" t="s">
        <v>559</v>
      </c>
      <c r="I1164" s="141" t="str">
        <f t="shared" si="105"/>
        <v>999</v>
      </c>
      <c r="J1164" s="141" t="s">
        <v>4327</v>
      </c>
      <c r="K1164" s="141">
        <v>1221</v>
      </c>
      <c r="L1164" s="141">
        <v>1</v>
      </c>
      <c r="M1164" s="141">
        <v>0</v>
      </c>
      <c r="N1164" s="141">
        <v>3000</v>
      </c>
      <c r="O1164" s="141" t="s">
        <v>4330</v>
      </c>
      <c r="P1164" s="141" t="s">
        <v>4705</v>
      </c>
    </row>
    <row r="1165" spans="1:16" ht="25.5">
      <c r="A1165" s="141">
        <v>76807</v>
      </c>
      <c r="B1165" s="141" t="s">
        <v>4325</v>
      </c>
      <c r="C1165" s="142">
        <v>41201</v>
      </c>
      <c r="D1165" s="141">
        <v>473</v>
      </c>
      <c r="E1165" s="141" t="str">
        <f t="shared" si="104"/>
        <v>001</v>
      </c>
      <c r="F1165" s="141" t="s">
        <v>4326</v>
      </c>
      <c r="G1165" s="141" t="str">
        <f>"0461"</f>
        <v>0461</v>
      </c>
      <c r="H1165" s="141" t="s">
        <v>559</v>
      </c>
      <c r="I1165" s="141" t="str">
        <f t="shared" si="105"/>
        <v>999</v>
      </c>
      <c r="J1165" s="141" t="s">
        <v>4327</v>
      </c>
      <c r="K1165" s="141">
        <v>1222</v>
      </c>
      <c r="L1165" s="141">
        <v>1</v>
      </c>
      <c r="M1165" s="141">
        <v>0</v>
      </c>
      <c r="N1165" s="141">
        <v>4000</v>
      </c>
      <c r="O1165" s="141" t="s">
        <v>4472</v>
      </c>
      <c r="P1165" s="141" t="s">
        <v>4702</v>
      </c>
    </row>
    <row r="1166" spans="1:16" ht="25.5">
      <c r="A1166" s="141">
        <v>76807</v>
      </c>
      <c r="B1166" s="141" t="s">
        <v>4325</v>
      </c>
      <c r="C1166" s="142">
        <v>41201</v>
      </c>
      <c r="D1166" s="141">
        <v>473</v>
      </c>
      <c r="E1166" s="141" t="str">
        <f t="shared" si="104"/>
        <v>001</v>
      </c>
      <c r="F1166" s="141" t="s">
        <v>4326</v>
      </c>
      <c r="G1166" s="141" t="str">
        <f>"0461"</f>
        <v>0461</v>
      </c>
      <c r="H1166" s="141" t="s">
        <v>559</v>
      </c>
      <c r="I1166" s="141" t="str">
        <f t="shared" si="105"/>
        <v>999</v>
      </c>
      <c r="J1166" s="141" t="s">
        <v>4327</v>
      </c>
      <c r="K1166" s="141">
        <v>2916</v>
      </c>
      <c r="L1166" s="141">
        <v>1</v>
      </c>
      <c r="M1166" s="141">
        <v>0</v>
      </c>
      <c r="N1166" s="141">
        <v>4000</v>
      </c>
      <c r="O1166" s="141" t="s">
        <v>4328</v>
      </c>
      <c r="P1166" s="141" t="s">
        <v>4701</v>
      </c>
    </row>
    <row r="1167" spans="1:16" ht="25.5">
      <c r="A1167" s="141">
        <v>76807</v>
      </c>
      <c r="B1167" s="141" t="s">
        <v>4325</v>
      </c>
      <c r="C1167" s="142">
        <v>41201</v>
      </c>
      <c r="D1167" s="141">
        <v>473</v>
      </c>
      <c r="E1167" s="141" t="str">
        <f t="shared" si="104"/>
        <v>001</v>
      </c>
      <c r="F1167" s="141" t="s">
        <v>4326</v>
      </c>
      <c r="G1167" s="141" t="str">
        <f>"0461"</f>
        <v>0461</v>
      </c>
      <c r="H1167" s="141" t="s">
        <v>559</v>
      </c>
      <c r="I1167" s="141" t="str">
        <f t="shared" si="105"/>
        <v>999</v>
      </c>
      <c r="J1167" s="141" t="s">
        <v>4327</v>
      </c>
      <c r="K1167" s="141">
        <v>2917</v>
      </c>
      <c r="L1167" s="141">
        <v>1</v>
      </c>
      <c r="M1167" s="141">
        <v>0</v>
      </c>
      <c r="N1167" s="141">
        <v>9000</v>
      </c>
      <c r="O1167" s="141" t="s">
        <v>4463</v>
      </c>
      <c r="P1167" s="141" t="s">
        <v>4462</v>
      </c>
    </row>
    <row r="1168" spans="1:16" ht="25.5">
      <c r="A1168" s="141">
        <v>76807</v>
      </c>
      <c r="B1168" s="141" t="s">
        <v>4325</v>
      </c>
      <c r="C1168" s="142">
        <v>41201</v>
      </c>
      <c r="D1168" s="141">
        <v>473</v>
      </c>
      <c r="E1168" s="141" t="str">
        <f t="shared" si="104"/>
        <v>001</v>
      </c>
      <c r="F1168" s="141" t="s">
        <v>4326</v>
      </c>
      <c r="G1168" s="141" t="str">
        <f>"0461"</f>
        <v>0461</v>
      </c>
      <c r="H1168" s="141" t="s">
        <v>559</v>
      </c>
      <c r="I1168" s="141" t="str">
        <f t="shared" si="105"/>
        <v>999</v>
      </c>
      <c r="J1168" s="141" t="s">
        <v>4327</v>
      </c>
      <c r="K1168" s="141">
        <v>2918</v>
      </c>
      <c r="L1168" s="141">
        <v>1</v>
      </c>
      <c r="M1168" s="141">
        <v>0</v>
      </c>
      <c r="N1168" s="141">
        <v>3000</v>
      </c>
      <c r="O1168" s="141" t="s">
        <v>4330</v>
      </c>
      <c r="P1168" s="141" t="s">
        <v>4331</v>
      </c>
    </row>
    <row r="1169" spans="1:16" ht="25.5">
      <c r="A1169" s="141">
        <v>76807</v>
      </c>
      <c r="B1169" s="141" t="s">
        <v>4325</v>
      </c>
      <c r="C1169" s="142">
        <v>41201</v>
      </c>
      <c r="D1169" s="141">
        <v>1157</v>
      </c>
      <c r="E1169" s="141" t="str">
        <f t="shared" si="104"/>
        <v>001</v>
      </c>
      <c r="F1169" s="141" t="s">
        <v>4326</v>
      </c>
      <c r="G1169" s="141" t="str">
        <f>"0462"</f>
        <v>0462</v>
      </c>
      <c r="H1169" s="141" t="s">
        <v>2363</v>
      </c>
      <c r="I1169" s="141" t="str">
        <f t="shared" si="105"/>
        <v>999</v>
      </c>
      <c r="J1169" s="141" t="s">
        <v>4327</v>
      </c>
      <c r="K1169" s="141">
        <v>2941</v>
      </c>
      <c r="L1169" s="141">
        <v>1</v>
      </c>
      <c r="M1169" s="141">
        <v>0</v>
      </c>
      <c r="N1169" s="141">
        <v>33000</v>
      </c>
      <c r="O1169" s="141" t="s">
        <v>4463</v>
      </c>
      <c r="P1169" s="141" t="s">
        <v>4709</v>
      </c>
    </row>
    <row r="1170" spans="1:16" ht="25.5">
      <c r="A1170" s="141">
        <v>76807</v>
      </c>
      <c r="B1170" s="141" t="s">
        <v>4325</v>
      </c>
      <c r="C1170" s="142">
        <v>41201</v>
      </c>
      <c r="D1170" s="141">
        <v>1157</v>
      </c>
      <c r="E1170" s="141" t="str">
        <f t="shared" si="104"/>
        <v>001</v>
      </c>
      <c r="F1170" s="141" t="s">
        <v>4326</v>
      </c>
      <c r="G1170" s="141" t="str">
        <f>"0462"</f>
        <v>0462</v>
      </c>
      <c r="H1170" s="141" t="s">
        <v>2363</v>
      </c>
      <c r="I1170" s="141" t="str">
        <f t="shared" si="105"/>
        <v>999</v>
      </c>
      <c r="J1170" s="141" t="s">
        <v>4327</v>
      </c>
      <c r="K1170" s="141">
        <v>2942</v>
      </c>
      <c r="L1170" s="141">
        <v>1</v>
      </c>
      <c r="M1170" s="141">
        <v>0</v>
      </c>
      <c r="N1170" s="141">
        <v>3000</v>
      </c>
      <c r="O1170" s="141" t="s">
        <v>4330</v>
      </c>
      <c r="P1170" s="141" t="s">
        <v>4331</v>
      </c>
    </row>
    <row r="1171" spans="1:16" ht="25.5">
      <c r="A1171" s="141">
        <v>76807</v>
      </c>
      <c r="B1171" s="141" t="s">
        <v>4325</v>
      </c>
      <c r="C1171" s="142">
        <v>41201</v>
      </c>
      <c r="D1171" s="141">
        <v>1157</v>
      </c>
      <c r="E1171" s="141" t="str">
        <f t="shared" si="104"/>
        <v>001</v>
      </c>
      <c r="F1171" s="141" t="s">
        <v>4326</v>
      </c>
      <c r="G1171" s="141" t="str">
        <f>"0462"</f>
        <v>0462</v>
      </c>
      <c r="H1171" s="141" t="s">
        <v>2363</v>
      </c>
      <c r="I1171" s="141" t="str">
        <f t="shared" si="105"/>
        <v>999</v>
      </c>
      <c r="J1171" s="141" t="s">
        <v>4327</v>
      </c>
      <c r="K1171" s="141">
        <v>2954</v>
      </c>
      <c r="L1171" s="141">
        <v>3</v>
      </c>
      <c r="M1171" s="141">
        <v>0</v>
      </c>
      <c r="N1171" s="141">
        <v>9000</v>
      </c>
      <c r="O1171" s="141" t="s">
        <v>4334</v>
      </c>
      <c r="P1171" s="141" t="s">
        <v>4335</v>
      </c>
    </row>
    <row r="1172" spans="1:16" ht="25.5">
      <c r="A1172" s="141">
        <v>76807</v>
      </c>
      <c r="B1172" s="141" t="s">
        <v>4325</v>
      </c>
      <c r="C1172" s="142">
        <v>41201</v>
      </c>
      <c r="D1172" s="141">
        <v>1157</v>
      </c>
      <c r="E1172" s="141" t="str">
        <f t="shared" si="104"/>
        <v>001</v>
      </c>
      <c r="F1172" s="141" t="s">
        <v>4326</v>
      </c>
      <c r="G1172" s="141" t="str">
        <f>"0462"</f>
        <v>0462</v>
      </c>
      <c r="H1172" s="141" t="s">
        <v>2363</v>
      </c>
      <c r="I1172" s="141" t="str">
        <f t="shared" si="105"/>
        <v>999</v>
      </c>
      <c r="J1172" s="141" t="s">
        <v>4327</v>
      </c>
      <c r="K1172" s="141">
        <v>2955</v>
      </c>
      <c r="L1172" s="141">
        <v>3</v>
      </c>
      <c r="M1172" s="141">
        <v>0</v>
      </c>
      <c r="N1172" s="141">
        <v>7000</v>
      </c>
      <c r="O1172" s="141" t="s">
        <v>4334</v>
      </c>
      <c r="P1172" s="141" t="s">
        <v>4340</v>
      </c>
    </row>
    <row r="1173" spans="1:16" ht="25.5">
      <c r="A1173" s="141">
        <v>76807</v>
      </c>
      <c r="B1173" s="141" t="s">
        <v>4325</v>
      </c>
      <c r="C1173" s="142">
        <v>41201</v>
      </c>
      <c r="D1173" s="141">
        <v>382</v>
      </c>
      <c r="E1173" s="141" t="str">
        <f t="shared" si="104"/>
        <v>001</v>
      </c>
      <c r="F1173" s="141" t="s">
        <v>4326</v>
      </c>
      <c r="G1173" s="141" t="str">
        <f>"0463"</f>
        <v>0463</v>
      </c>
      <c r="H1173" s="141" t="s">
        <v>2479</v>
      </c>
      <c r="I1173" s="141" t="str">
        <f t="shared" si="105"/>
        <v>999</v>
      </c>
      <c r="J1173" s="141" t="s">
        <v>4327</v>
      </c>
      <c r="K1173" s="141">
        <v>933</v>
      </c>
      <c r="L1173" s="141">
        <v>1</v>
      </c>
      <c r="M1173" s="141">
        <v>0</v>
      </c>
      <c r="N1173" s="141">
        <v>4000</v>
      </c>
      <c r="O1173" s="141" t="s">
        <v>4397</v>
      </c>
      <c r="P1173" s="141" t="s">
        <v>4467</v>
      </c>
    </row>
    <row r="1174" spans="1:16" ht="25.5">
      <c r="A1174" s="141">
        <v>76807</v>
      </c>
      <c r="B1174" s="141" t="s">
        <v>4325</v>
      </c>
      <c r="C1174" s="142">
        <v>41201</v>
      </c>
      <c r="D1174" s="141">
        <v>382</v>
      </c>
      <c r="E1174" s="141" t="str">
        <f t="shared" si="104"/>
        <v>001</v>
      </c>
      <c r="F1174" s="141" t="s">
        <v>4326</v>
      </c>
      <c r="G1174" s="141" t="str">
        <f>"0463"</f>
        <v>0463</v>
      </c>
      <c r="H1174" s="141" t="s">
        <v>2479</v>
      </c>
      <c r="I1174" s="141" t="str">
        <f t="shared" si="105"/>
        <v>999</v>
      </c>
      <c r="J1174" s="141" t="s">
        <v>4327</v>
      </c>
      <c r="K1174" s="141">
        <v>934</v>
      </c>
      <c r="L1174" s="141">
        <v>1</v>
      </c>
      <c r="M1174" s="141">
        <v>0</v>
      </c>
      <c r="N1174" s="141">
        <v>4000</v>
      </c>
      <c r="O1174" s="141" t="s">
        <v>4330</v>
      </c>
      <c r="P1174" s="141" t="s">
        <v>4348</v>
      </c>
    </row>
    <row r="1175" spans="1:16" ht="25.5">
      <c r="A1175" s="141">
        <v>76807</v>
      </c>
      <c r="B1175" s="141" t="s">
        <v>4325</v>
      </c>
      <c r="C1175" s="142">
        <v>41201</v>
      </c>
      <c r="D1175" s="141">
        <v>382</v>
      </c>
      <c r="E1175" s="141" t="str">
        <f t="shared" si="104"/>
        <v>001</v>
      </c>
      <c r="F1175" s="141" t="s">
        <v>4326</v>
      </c>
      <c r="G1175" s="141" t="str">
        <f>"0463"</f>
        <v>0463</v>
      </c>
      <c r="H1175" s="141" t="s">
        <v>2479</v>
      </c>
      <c r="I1175" s="141" t="str">
        <f t="shared" si="105"/>
        <v>999</v>
      </c>
      <c r="J1175" s="141" t="s">
        <v>4327</v>
      </c>
      <c r="K1175" s="141">
        <v>935</v>
      </c>
      <c r="L1175" s="141">
        <v>1</v>
      </c>
      <c r="M1175" s="141">
        <v>0</v>
      </c>
      <c r="N1175" s="141">
        <v>12000</v>
      </c>
      <c r="O1175" s="141" t="s">
        <v>4375</v>
      </c>
      <c r="P1175" s="141" t="s">
        <v>4710</v>
      </c>
    </row>
    <row r="1176" spans="1:16" ht="25.5">
      <c r="A1176" s="141">
        <v>76807</v>
      </c>
      <c r="B1176" s="141" t="s">
        <v>4325</v>
      </c>
      <c r="C1176" s="142">
        <v>41201</v>
      </c>
      <c r="D1176" s="141">
        <v>728</v>
      </c>
      <c r="E1176" s="141" t="str">
        <f t="shared" si="104"/>
        <v>001</v>
      </c>
      <c r="F1176" s="141" t="s">
        <v>4326</v>
      </c>
      <c r="G1176" s="141" t="str">
        <f>"0464"</f>
        <v>0464</v>
      </c>
      <c r="H1176" s="141" t="s">
        <v>2481</v>
      </c>
      <c r="I1176" s="141" t="str">
        <f t="shared" si="105"/>
        <v>999</v>
      </c>
      <c r="J1176" s="141" t="s">
        <v>4327</v>
      </c>
      <c r="K1176" s="141">
        <v>2245</v>
      </c>
      <c r="L1176" s="141">
        <v>1</v>
      </c>
      <c r="M1176" s="141">
        <v>0</v>
      </c>
      <c r="N1176" s="141">
        <v>3000</v>
      </c>
      <c r="O1176" s="141" t="s">
        <v>4330</v>
      </c>
      <c r="P1176" s="141" t="s">
        <v>4331</v>
      </c>
    </row>
    <row r="1177" spans="1:16" ht="25.5">
      <c r="A1177" s="141">
        <v>76807</v>
      </c>
      <c r="B1177" s="141" t="s">
        <v>4325</v>
      </c>
      <c r="C1177" s="142">
        <v>41201</v>
      </c>
      <c r="D1177" s="141">
        <v>728</v>
      </c>
      <c r="E1177" s="141" t="str">
        <f t="shared" si="104"/>
        <v>001</v>
      </c>
      <c r="F1177" s="141" t="s">
        <v>4326</v>
      </c>
      <c r="G1177" s="141" t="str">
        <f>"0464"</f>
        <v>0464</v>
      </c>
      <c r="H1177" s="141" t="s">
        <v>2481</v>
      </c>
      <c r="I1177" s="141" t="str">
        <f t="shared" si="105"/>
        <v>999</v>
      </c>
      <c r="J1177" s="141" t="s">
        <v>4327</v>
      </c>
      <c r="K1177" s="141">
        <v>2246</v>
      </c>
      <c r="L1177" s="141">
        <v>1</v>
      </c>
      <c r="M1177" s="141">
        <v>0</v>
      </c>
      <c r="N1177" s="141">
        <v>18000</v>
      </c>
      <c r="O1177" s="141" t="s">
        <v>4399</v>
      </c>
      <c r="P1177" s="141" t="s">
        <v>4383</v>
      </c>
    </row>
    <row r="1178" spans="1:16" ht="25.5">
      <c r="A1178" s="141">
        <v>76807</v>
      </c>
      <c r="B1178" s="141" t="s">
        <v>4325</v>
      </c>
      <c r="C1178" s="142">
        <v>41201</v>
      </c>
      <c r="D1178" s="141">
        <v>728</v>
      </c>
      <c r="E1178" s="141" t="str">
        <f t="shared" si="104"/>
        <v>001</v>
      </c>
      <c r="F1178" s="141" t="s">
        <v>4326</v>
      </c>
      <c r="G1178" s="141" t="str">
        <f>"0464"</f>
        <v>0464</v>
      </c>
      <c r="H1178" s="141" t="s">
        <v>2481</v>
      </c>
      <c r="I1178" s="141" t="str">
        <f t="shared" si="105"/>
        <v>999</v>
      </c>
      <c r="J1178" s="141" t="s">
        <v>4327</v>
      </c>
      <c r="K1178" s="141">
        <v>2247</v>
      </c>
      <c r="L1178" s="141">
        <v>1</v>
      </c>
      <c r="M1178" s="141">
        <v>0</v>
      </c>
      <c r="N1178" s="141">
        <v>11000</v>
      </c>
      <c r="O1178" s="141" t="s">
        <v>4397</v>
      </c>
      <c r="P1178" s="141" t="s">
        <v>4544</v>
      </c>
    </row>
    <row r="1179" spans="1:16" ht="25.5">
      <c r="A1179" s="141">
        <v>76807</v>
      </c>
      <c r="B1179" s="141" t="s">
        <v>4325</v>
      </c>
      <c r="C1179" s="142">
        <v>41201</v>
      </c>
      <c r="D1179" s="141">
        <v>1272</v>
      </c>
      <c r="E1179" s="141" t="str">
        <f t="shared" si="104"/>
        <v>001</v>
      </c>
      <c r="F1179" s="141" t="s">
        <v>4326</v>
      </c>
      <c r="G1179" s="141" t="str">
        <f>"0465"</f>
        <v>0465</v>
      </c>
      <c r="H1179" s="141" t="s">
        <v>4128</v>
      </c>
      <c r="I1179" s="141" t="str">
        <f t="shared" si="105"/>
        <v>999</v>
      </c>
      <c r="J1179" s="141" t="s">
        <v>4327</v>
      </c>
      <c r="K1179" s="141">
        <v>3382</v>
      </c>
      <c r="L1179" s="141">
        <v>1</v>
      </c>
      <c r="M1179" s="141">
        <v>0</v>
      </c>
      <c r="N1179" s="141">
        <v>24000</v>
      </c>
      <c r="O1179" s="141" t="s">
        <v>4327</v>
      </c>
      <c r="P1179" s="141"/>
    </row>
    <row r="1180" spans="1:16" ht="25.5">
      <c r="A1180" s="141">
        <v>76807</v>
      </c>
      <c r="B1180" s="141" t="s">
        <v>4325</v>
      </c>
      <c r="C1180" s="142">
        <v>41201</v>
      </c>
      <c r="D1180" s="141">
        <v>746</v>
      </c>
      <c r="E1180" s="141" t="str">
        <f t="shared" si="104"/>
        <v>001</v>
      </c>
      <c r="F1180" s="141" t="s">
        <v>4326</v>
      </c>
      <c r="G1180" s="141" t="str">
        <f>"0468"</f>
        <v>0468</v>
      </c>
      <c r="H1180" s="141" t="s">
        <v>1070</v>
      </c>
      <c r="I1180" s="141" t="str">
        <f t="shared" si="105"/>
        <v>999</v>
      </c>
      <c r="J1180" s="141" t="s">
        <v>4327</v>
      </c>
      <c r="K1180" s="141">
        <v>2485</v>
      </c>
      <c r="L1180" s="141">
        <v>1</v>
      </c>
      <c r="M1180" s="141">
        <v>0</v>
      </c>
      <c r="N1180" s="141">
        <v>8000</v>
      </c>
      <c r="O1180" s="141" t="s">
        <v>4463</v>
      </c>
      <c r="P1180" s="141" t="s">
        <v>4711</v>
      </c>
    </row>
    <row r="1181" spans="1:16" ht="25.5">
      <c r="A1181" s="141">
        <v>76807</v>
      </c>
      <c r="B1181" s="141" t="s">
        <v>4325</v>
      </c>
      <c r="C1181" s="142">
        <v>41201</v>
      </c>
      <c r="D1181" s="141">
        <v>746</v>
      </c>
      <c r="E1181" s="141" t="str">
        <f t="shared" si="104"/>
        <v>001</v>
      </c>
      <c r="F1181" s="141" t="s">
        <v>4326</v>
      </c>
      <c r="G1181" s="141" t="str">
        <f>"0468"</f>
        <v>0468</v>
      </c>
      <c r="H1181" s="141" t="s">
        <v>1070</v>
      </c>
      <c r="I1181" s="141" t="str">
        <f t="shared" si="105"/>
        <v>999</v>
      </c>
      <c r="J1181" s="141" t="s">
        <v>4327</v>
      </c>
      <c r="K1181" s="141">
        <v>2486</v>
      </c>
      <c r="L1181" s="141">
        <v>1</v>
      </c>
      <c r="M1181" s="141">
        <v>0</v>
      </c>
      <c r="N1181" s="141">
        <v>4000</v>
      </c>
      <c r="O1181" s="141" t="s">
        <v>4330</v>
      </c>
      <c r="P1181" s="141" t="s">
        <v>4348</v>
      </c>
    </row>
    <row r="1182" spans="1:16" ht="25.5">
      <c r="A1182" s="141">
        <v>76807</v>
      </c>
      <c r="B1182" s="141" t="s">
        <v>4325</v>
      </c>
      <c r="C1182" s="142">
        <v>41201</v>
      </c>
      <c r="D1182" s="141">
        <v>1273</v>
      </c>
      <c r="E1182" s="141" t="str">
        <f t="shared" si="104"/>
        <v>001</v>
      </c>
      <c r="F1182" s="141" t="s">
        <v>4326</v>
      </c>
      <c r="G1182" s="141" t="str">
        <f>"0469"</f>
        <v>0469</v>
      </c>
      <c r="H1182" s="141" t="s">
        <v>3686</v>
      </c>
      <c r="I1182" s="141" t="str">
        <f t="shared" si="105"/>
        <v>999</v>
      </c>
      <c r="J1182" s="141" t="s">
        <v>4327</v>
      </c>
      <c r="K1182" s="141">
        <v>3383</v>
      </c>
      <c r="L1182" s="141">
        <v>1</v>
      </c>
      <c r="M1182" s="141">
        <v>0</v>
      </c>
      <c r="N1182" s="141">
        <v>35000</v>
      </c>
      <c r="O1182" s="141" t="s">
        <v>4327</v>
      </c>
      <c r="P1182" s="141"/>
    </row>
    <row r="1183" spans="1:16" ht="25.5">
      <c r="A1183" s="141">
        <v>76807</v>
      </c>
      <c r="B1183" s="141" t="s">
        <v>4325</v>
      </c>
      <c r="C1183" s="142">
        <v>41201</v>
      </c>
      <c r="D1183" s="141">
        <v>733</v>
      </c>
      <c r="E1183" s="141" t="str">
        <f t="shared" si="104"/>
        <v>001</v>
      </c>
      <c r="F1183" s="141" t="s">
        <v>4326</v>
      </c>
      <c r="G1183" s="141" t="str">
        <f>"0470"</f>
        <v>0470</v>
      </c>
      <c r="H1183" s="141" t="s">
        <v>992</v>
      </c>
      <c r="I1183" s="141" t="str">
        <f t="shared" si="105"/>
        <v>999</v>
      </c>
      <c r="J1183" s="141" t="s">
        <v>4327</v>
      </c>
      <c r="K1183" s="141">
        <v>2307</v>
      </c>
      <c r="L1183" s="141">
        <v>2</v>
      </c>
      <c r="M1183" s="141">
        <v>0</v>
      </c>
      <c r="N1183" s="141">
        <v>3000</v>
      </c>
      <c r="O1183" s="141" t="s">
        <v>4409</v>
      </c>
      <c r="P1183" s="141" t="s">
        <v>4340</v>
      </c>
    </row>
    <row r="1184" spans="1:16" ht="25.5">
      <c r="A1184" s="141">
        <v>76807</v>
      </c>
      <c r="B1184" s="141" t="s">
        <v>4325</v>
      </c>
      <c r="C1184" s="142">
        <v>41201</v>
      </c>
      <c r="D1184" s="141">
        <v>733</v>
      </c>
      <c r="E1184" s="141" t="str">
        <f t="shared" si="104"/>
        <v>001</v>
      </c>
      <c r="F1184" s="141" t="s">
        <v>4326</v>
      </c>
      <c r="G1184" s="141" t="str">
        <f>"0470"</f>
        <v>0470</v>
      </c>
      <c r="H1184" s="141" t="s">
        <v>992</v>
      </c>
      <c r="I1184" s="141" t="str">
        <f t="shared" si="105"/>
        <v>999</v>
      </c>
      <c r="J1184" s="141" t="s">
        <v>4327</v>
      </c>
      <c r="K1184" s="141">
        <v>2308</v>
      </c>
      <c r="L1184" s="141">
        <v>1</v>
      </c>
      <c r="M1184" s="141">
        <v>0</v>
      </c>
      <c r="N1184" s="141">
        <v>3000</v>
      </c>
      <c r="O1184" s="141" t="s">
        <v>4330</v>
      </c>
      <c r="P1184" s="141" t="s">
        <v>4331</v>
      </c>
    </row>
    <row r="1185" spans="1:16" ht="25.5">
      <c r="A1185" s="141">
        <v>76807</v>
      </c>
      <c r="B1185" s="141" t="s">
        <v>4325</v>
      </c>
      <c r="C1185" s="142">
        <v>41201</v>
      </c>
      <c r="D1185" s="141">
        <v>733</v>
      </c>
      <c r="E1185" s="141" t="str">
        <f t="shared" si="104"/>
        <v>001</v>
      </c>
      <c r="F1185" s="141" t="s">
        <v>4326</v>
      </c>
      <c r="G1185" s="141" t="str">
        <f>"0470"</f>
        <v>0470</v>
      </c>
      <c r="H1185" s="141" t="s">
        <v>992</v>
      </c>
      <c r="I1185" s="141" t="str">
        <f t="shared" si="105"/>
        <v>999</v>
      </c>
      <c r="J1185" s="141" t="s">
        <v>4327</v>
      </c>
      <c r="K1185" s="141">
        <v>2309</v>
      </c>
      <c r="L1185" s="141">
        <v>1</v>
      </c>
      <c r="M1185" s="141">
        <v>0</v>
      </c>
      <c r="N1185" s="141">
        <v>3000</v>
      </c>
      <c r="O1185" s="141" t="s">
        <v>4397</v>
      </c>
      <c r="P1185" s="141" t="s">
        <v>4354</v>
      </c>
    </row>
    <row r="1186" spans="1:16" ht="25.5">
      <c r="A1186" s="141">
        <v>76807</v>
      </c>
      <c r="B1186" s="141" t="s">
        <v>4325</v>
      </c>
      <c r="C1186" s="142">
        <v>41201</v>
      </c>
      <c r="D1186" s="141">
        <v>391</v>
      </c>
      <c r="E1186" s="141" t="str">
        <f t="shared" si="104"/>
        <v>001</v>
      </c>
      <c r="F1186" s="141" t="s">
        <v>4326</v>
      </c>
      <c r="G1186" s="141" t="str">
        <f>"0473"</f>
        <v>0473</v>
      </c>
      <c r="H1186" s="141" t="s">
        <v>1003</v>
      </c>
      <c r="I1186" s="141" t="str">
        <f t="shared" si="105"/>
        <v>999</v>
      </c>
      <c r="J1186" s="141" t="s">
        <v>4327</v>
      </c>
      <c r="K1186" s="141">
        <v>1028</v>
      </c>
      <c r="L1186" s="141">
        <v>8</v>
      </c>
      <c r="M1186" s="141">
        <v>0</v>
      </c>
      <c r="N1186" s="141">
        <v>20000</v>
      </c>
      <c r="O1186" s="141" t="s">
        <v>4334</v>
      </c>
      <c r="P1186" s="141" t="s">
        <v>4340</v>
      </c>
    </row>
    <row r="1187" spans="1:16" ht="25.5">
      <c r="A1187" s="141">
        <v>76807</v>
      </c>
      <c r="B1187" s="141" t="s">
        <v>4325</v>
      </c>
      <c r="C1187" s="142">
        <v>41201</v>
      </c>
      <c r="D1187" s="141">
        <v>391</v>
      </c>
      <c r="E1187" s="141" t="str">
        <f t="shared" si="104"/>
        <v>001</v>
      </c>
      <c r="F1187" s="141" t="s">
        <v>4326</v>
      </c>
      <c r="G1187" s="141" t="str">
        <f>"0473"</f>
        <v>0473</v>
      </c>
      <c r="H1187" s="141" t="s">
        <v>1003</v>
      </c>
      <c r="I1187" s="141" t="str">
        <f t="shared" si="105"/>
        <v>999</v>
      </c>
      <c r="J1187" s="141" t="s">
        <v>4327</v>
      </c>
      <c r="K1187" s="141">
        <v>1029</v>
      </c>
      <c r="L1187" s="141">
        <v>1</v>
      </c>
      <c r="M1187" s="141">
        <v>0</v>
      </c>
      <c r="N1187" s="141">
        <v>3000</v>
      </c>
      <c r="O1187" s="141" t="s">
        <v>4330</v>
      </c>
      <c r="P1187" s="141" t="s">
        <v>4331</v>
      </c>
    </row>
    <row r="1188" spans="1:16" ht="25.5">
      <c r="A1188" s="141">
        <v>76807</v>
      </c>
      <c r="B1188" s="141" t="s">
        <v>4325</v>
      </c>
      <c r="C1188" s="142">
        <v>41201</v>
      </c>
      <c r="D1188" s="141">
        <v>391</v>
      </c>
      <c r="E1188" s="141" t="str">
        <f t="shared" si="104"/>
        <v>001</v>
      </c>
      <c r="F1188" s="141" t="s">
        <v>4326</v>
      </c>
      <c r="G1188" s="141" t="str">
        <f>"0473"</f>
        <v>0473</v>
      </c>
      <c r="H1188" s="141" t="s">
        <v>1003</v>
      </c>
      <c r="I1188" s="141" t="str">
        <f t="shared" si="105"/>
        <v>999</v>
      </c>
      <c r="J1188" s="141" t="s">
        <v>4327</v>
      </c>
      <c r="K1188" s="141">
        <v>1030</v>
      </c>
      <c r="L1188" s="141">
        <v>1</v>
      </c>
      <c r="M1188" s="141">
        <v>0</v>
      </c>
      <c r="N1188" s="141">
        <v>4000</v>
      </c>
      <c r="O1188" s="141" t="s">
        <v>4328</v>
      </c>
      <c r="P1188" s="141" t="s">
        <v>4712</v>
      </c>
    </row>
    <row r="1189" spans="1:16" ht="25.5">
      <c r="A1189" s="141">
        <v>76807</v>
      </c>
      <c r="B1189" s="141" t="s">
        <v>4325</v>
      </c>
      <c r="C1189" s="142">
        <v>41201</v>
      </c>
      <c r="D1189" s="141">
        <v>391</v>
      </c>
      <c r="E1189" s="141" t="str">
        <f t="shared" si="104"/>
        <v>001</v>
      </c>
      <c r="F1189" s="141" t="s">
        <v>4326</v>
      </c>
      <c r="G1189" s="141" t="str">
        <f>"0473"</f>
        <v>0473</v>
      </c>
      <c r="H1189" s="141" t="s">
        <v>1003</v>
      </c>
      <c r="I1189" s="141" t="str">
        <f t="shared" si="105"/>
        <v>999</v>
      </c>
      <c r="J1189" s="141" t="s">
        <v>4327</v>
      </c>
      <c r="K1189" s="141">
        <v>1031</v>
      </c>
      <c r="L1189" s="141">
        <v>1</v>
      </c>
      <c r="M1189" s="141">
        <v>0</v>
      </c>
      <c r="N1189" s="141">
        <v>3000</v>
      </c>
      <c r="O1189" s="141" t="s">
        <v>4351</v>
      </c>
      <c r="P1189" s="141" t="s">
        <v>4713</v>
      </c>
    </row>
    <row r="1190" spans="1:16" ht="25.5">
      <c r="A1190" s="141">
        <v>76807</v>
      </c>
      <c r="B1190" s="141" t="s">
        <v>4325</v>
      </c>
      <c r="C1190" s="142">
        <v>41201</v>
      </c>
      <c r="D1190" s="141">
        <v>1173</v>
      </c>
      <c r="E1190" s="141" t="str">
        <f t="shared" si="104"/>
        <v>001</v>
      </c>
      <c r="F1190" s="141" t="s">
        <v>4326</v>
      </c>
      <c r="G1190" s="141" t="str">
        <f>"0474"</f>
        <v>0474</v>
      </c>
      <c r="H1190" s="141" t="s">
        <v>1083</v>
      </c>
      <c r="I1190" s="141" t="str">
        <f t="shared" si="105"/>
        <v>999</v>
      </c>
      <c r="J1190" s="141" t="s">
        <v>4327</v>
      </c>
      <c r="K1190" s="141">
        <v>3069</v>
      </c>
      <c r="L1190" s="141">
        <v>1</v>
      </c>
      <c r="M1190" s="141">
        <v>0</v>
      </c>
      <c r="N1190" s="141">
        <v>4000</v>
      </c>
      <c r="O1190" s="141" t="s">
        <v>4330</v>
      </c>
      <c r="P1190" s="141" t="s">
        <v>4348</v>
      </c>
    </row>
    <row r="1191" spans="1:16" ht="25.5">
      <c r="A1191" s="141">
        <v>76807</v>
      </c>
      <c r="B1191" s="141" t="s">
        <v>4325</v>
      </c>
      <c r="C1191" s="142">
        <v>41201</v>
      </c>
      <c r="D1191" s="141">
        <v>1173</v>
      </c>
      <c r="E1191" s="141" t="str">
        <f t="shared" si="104"/>
        <v>001</v>
      </c>
      <c r="F1191" s="141" t="s">
        <v>4326</v>
      </c>
      <c r="G1191" s="141" t="str">
        <f>"0474"</f>
        <v>0474</v>
      </c>
      <c r="H1191" s="141" t="s">
        <v>1083</v>
      </c>
      <c r="I1191" s="141" t="str">
        <f t="shared" si="105"/>
        <v>999</v>
      </c>
      <c r="J1191" s="141" t="s">
        <v>4327</v>
      </c>
      <c r="K1191" s="141">
        <v>3070</v>
      </c>
      <c r="L1191" s="141">
        <v>1</v>
      </c>
      <c r="M1191" s="141">
        <v>0</v>
      </c>
      <c r="N1191" s="141">
        <v>0</v>
      </c>
      <c r="O1191" s="141" t="s">
        <v>4660</v>
      </c>
      <c r="P1191" s="141"/>
    </row>
    <row r="1192" spans="1:16" ht="25.5">
      <c r="A1192" s="141">
        <v>76807</v>
      </c>
      <c r="B1192" s="141" t="s">
        <v>4325</v>
      </c>
      <c r="C1192" s="142">
        <v>41201</v>
      </c>
      <c r="D1192" s="141">
        <v>1173</v>
      </c>
      <c r="E1192" s="141" t="str">
        <f t="shared" si="104"/>
        <v>001</v>
      </c>
      <c r="F1192" s="141" t="s">
        <v>4326</v>
      </c>
      <c r="G1192" s="141" t="str">
        <f>"0474"</f>
        <v>0474</v>
      </c>
      <c r="H1192" s="141" t="s">
        <v>1083</v>
      </c>
      <c r="I1192" s="141" t="str">
        <f t="shared" si="105"/>
        <v>999</v>
      </c>
      <c r="J1192" s="141" t="s">
        <v>4327</v>
      </c>
      <c r="K1192" s="141">
        <v>3071</v>
      </c>
      <c r="L1192" s="141">
        <v>3</v>
      </c>
      <c r="M1192" s="141">
        <v>0</v>
      </c>
      <c r="N1192" s="141">
        <v>7000</v>
      </c>
      <c r="O1192" s="141" t="s">
        <v>4334</v>
      </c>
      <c r="P1192" s="141" t="s">
        <v>4340</v>
      </c>
    </row>
    <row r="1193" spans="1:16" ht="25.5">
      <c r="A1193" s="141">
        <v>76807</v>
      </c>
      <c r="B1193" s="141" t="s">
        <v>4325</v>
      </c>
      <c r="C1193" s="142">
        <v>41201</v>
      </c>
      <c r="D1193" s="141">
        <v>444</v>
      </c>
      <c r="E1193" s="141" t="str">
        <f t="shared" si="104"/>
        <v>001</v>
      </c>
      <c r="F1193" s="141" t="s">
        <v>4326</v>
      </c>
      <c r="G1193" s="141" t="str">
        <f>"0475"</f>
        <v>0475</v>
      </c>
      <c r="H1193" s="141" t="s">
        <v>964</v>
      </c>
      <c r="I1193" s="141" t="str">
        <f t="shared" si="105"/>
        <v>999</v>
      </c>
      <c r="J1193" s="141" t="s">
        <v>4327</v>
      </c>
      <c r="K1193" s="141">
        <v>1317</v>
      </c>
      <c r="L1193" s="141">
        <v>1</v>
      </c>
      <c r="M1193" s="141">
        <v>0</v>
      </c>
      <c r="N1193" s="141">
        <v>3000</v>
      </c>
      <c r="O1193" s="141" t="s">
        <v>4330</v>
      </c>
      <c r="P1193" s="141" t="s">
        <v>4331</v>
      </c>
    </row>
    <row r="1194" spans="1:16" ht="25.5">
      <c r="A1194" s="141">
        <v>76807</v>
      </c>
      <c r="B1194" s="141" t="s">
        <v>4325</v>
      </c>
      <c r="C1194" s="142">
        <v>41201</v>
      </c>
      <c r="D1194" s="141">
        <v>444</v>
      </c>
      <c r="E1194" s="141" t="str">
        <f t="shared" si="104"/>
        <v>001</v>
      </c>
      <c r="F1194" s="141" t="s">
        <v>4326</v>
      </c>
      <c r="G1194" s="141" t="str">
        <f>"0475"</f>
        <v>0475</v>
      </c>
      <c r="H1194" s="141" t="s">
        <v>964</v>
      </c>
      <c r="I1194" s="141" t="str">
        <f t="shared" si="105"/>
        <v>999</v>
      </c>
      <c r="J1194" s="141" t="s">
        <v>4327</v>
      </c>
      <c r="K1194" s="141">
        <v>1318</v>
      </c>
      <c r="L1194" s="141">
        <v>1</v>
      </c>
      <c r="M1194" s="141">
        <v>0</v>
      </c>
      <c r="N1194" s="141">
        <v>0</v>
      </c>
      <c r="O1194" s="141" t="s">
        <v>4328</v>
      </c>
      <c r="P1194" s="141" t="s">
        <v>4658</v>
      </c>
    </row>
    <row r="1195" spans="1:16" ht="25.5">
      <c r="A1195" s="141">
        <v>76807</v>
      </c>
      <c r="B1195" s="141" t="s">
        <v>4325</v>
      </c>
      <c r="C1195" s="142">
        <v>41201</v>
      </c>
      <c r="D1195" s="141">
        <v>356</v>
      </c>
      <c r="E1195" s="141" t="str">
        <f t="shared" si="104"/>
        <v>001</v>
      </c>
      <c r="F1195" s="141" t="s">
        <v>4326</v>
      </c>
      <c r="G1195" s="141" t="str">
        <f t="shared" ref="G1195:G1200" si="106">"0489"</f>
        <v>0489</v>
      </c>
      <c r="H1195" s="141" t="s">
        <v>733</v>
      </c>
      <c r="I1195" s="141" t="str">
        <f t="shared" si="105"/>
        <v>999</v>
      </c>
      <c r="J1195" s="141" t="s">
        <v>4327</v>
      </c>
      <c r="K1195" s="141">
        <v>684</v>
      </c>
      <c r="L1195" s="141">
        <v>1</v>
      </c>
      <c r="M1195" s="141">
        <v>0</v>
      </c>
      <c r="N1195" s="141">
        <v>4000</v>
      </c>
      <c r="O1195" s="141" t="s">
        <v>4330</v>
      </c>
      <c r="P1195" s="141" t="s">
        <v>4348</v>
      </c>
    </row>
    <row r="1196" spans="1:16" ht="25.5">
      <c r="A1196" s="141">
        <v>76807</v>
      </c>
      <c r="B1196" s="141" t="s">
        <v>4325</v>
      </c>
      <c r="C1196" s="142">
        <v>41201</v>
      </c>
      <c r="D1196" s="141">
        <v>356</v>
      </c>
      <c r="E1196" s="141" t="str">
        <f t="shared" si="104"/>
        <v>001</v>
      </c>
      <c r="F1196" s="141" t="s">
        <v>4326</v>
      </c>
      <c r="G1196" s="141" t="str">
        <f t="shared" si="106"/>
        <v>0489</v>
      </c>
      <c r="H1196" s="141" t="s">
        <v>733</v>
      </c>
      <c r="I1196" s="141" t="str">
        <f t="shared" si="105"/>
        <v>999</v>
      </c>
      <c r="J1196" s="141" t="s">
        <v>4327</v>
      </c>
      <c r="K1196" s="141">
        <v>685</v>
      </c>
      <c r="L1196" s="141">
        <v>1</v>
      </c>
      <c r="M1196" s="141">
        <v>0</v>
      </c>
      <c r="N1196" s="141">
        <v>6000</v>
      </c>
      <c r="O1196" s="141" t="s">
        <v>4397</v>
      </c>
      <c r="P1196" s="141" t="s">
        <v>4714</v>
      </c>
    </row>
    <row r="1197" spans="1:16" ht="25.5">
      <c r="A1197" s="141">
        <v>76807</v>
      </c>
      <c r="B1197" s="141" t="s">
        <v>4325</v>
      </c>
      <c r="C1197" s="142">
        <v>41201</v>
      </c>
      <c r="D1197" s="141">
        <v>356</v>
      </c>
      <c r="E1197" s="141" t="str">
        <f t="shared" si="104"/>
        <v>001</v>
      </c>
      <c r="F1197" s="141" t="s">
        <v>4326</v>
      </c>
      <c r="G1197" s="141" t="str">
        <f t="shared" si="106"/>
        <v>0489</v>
      </c>
      <c r="H1197" s="141" t="s">
        <v>733</v>
      </c>
      <c r="I1197" s="141" t="str">
        <f t="shared" si="105"/>
        <v>999</v>
      </c>
      <c r="J1197" s="141" t="s">
        <v>4327</v>
      </c>
      <c r="K1197" s="141">
        <v>686</v>
      </c>
      <c r="L1197" s="141">
        <v>1</v>
      </c>
      <c r="M1197" s="141">
        <v>0</v>
      </c>
      <c r="N1197" s="141">
        <v>3000</v>
      </c>
      <c r="O1197" s="141" t="s">
        <v>4397</v>
      </c>
      <c r="P1197" s="141" t="s">
        <v>4534</v>
      </c>
    </row>
    <row r="1198" spans="1:16" ht="25.5">
      <c r="A1198" s="141">
        <v>76807</v>
      </c>
      <c r="B1198" s="141" t="s">
        <v>4325</v>
      </c>
      <c r="C1198" s="142">
        <v>41201</v>
      </c>
      <c r="D1198" s="141">
        <v>356</v>
      </c>
      <c r="E1198" s="141" t="str">
        <f t="shared" si="104"/>
        <v>001</v>
      </c>
      <c r="F1198" s="141" t="s">
        <v>4326</v>
      </c>
      <c r="G1198" s="141" t="str">
        <f t="shared" si="106"/>
        <v>0489</v>
      </c>
      <c r="H1198" s="141" t="s">
        <v>733</v>
      </c>
      <c r="I1198" s="141" t="str">
        <f t="shared" si="105"/>
        <v>999</v>
      </c>
      <c r="J1198" s="141" t="s">
        <v>4327</v>
      </c>
      <c r="K1198" s="141">
        <v>687</v>
      </c>
      <c r="L1198" s="141">
        <v>1</v>
      </c>
      <c r="M1198" s="141">
        <v>0</v>
      </c>
      <c r="N1198" s="141">
        <v>8000</v>
      </c>
      <c r="O1198" s="141" t="s">
        <v>4397</v>
      </c>
      <c r="P1198" s="141" t="s">
        <v>4524</v>
      </c>
    </row>
    <row r="1199" spans="1:16" ht="25.5">
      <c r="A1199" s="141">
        <v>76807</v>
      </c>
      <c r="B1199" s="141" t="s">
        <v>4325</v>
      </c>
      <c r="C1199" s="142">
        <v>41201</v>
      </c>
      <c r="D1199" s="141">
        <v>356</v>
      </c>
      <c r="E1199" s="141" t="str">
        <f t="shared" si="104"/>
        <v>001</v>
      </c>
      <c r="F1199" s="141" t="s">
        <v>4326</v>
      </c>
      <c r="G1199" s="141" t="str">
        <f t="shared" si="106"/>
        <v>0489</v>
      </c>
      <c r="H1199" s="141" t="s">
        <v>733</v>
      </c>
      <c r="I1199" s="141" t="str">
        <f t="shared" si="105"/>
        <v>999</v>
      </c>
      <c r="J1199" s="141" t="s">
        <v>4327</v>
      </c>
      <c r="K1199" s="141">
        <v>688</v>
      </c>
      <c r="L1199" s="141">
        <v>1</v>
      </c>
      <c r="M1199" s="141">
        <v>0</v>
      </c>
      <c r="N1199" s="141">
        <v>9000</v>
      </c>
      <c r="O1199" s="141" t="s">
        <v>4397</v>
      </c>
      <c r="P1199" s="141" t="s">
        <v>4617</v>
      </c>
    </row>
    <row r="1200" spans="1:16" ht="25.5">
      <c r="A1200" s="141">
        <v>76807</v>
      </c>
      <c r="B1200" s="141" t="s">
        <v>4325</v>
      </c>
      <c r="C1200" s="142">
        <v>41201</v>
      </c>
      <c r="D1200" s="141">
        <v>356</v>
      </c>
      <c r="E1200" s="141" t="str">
        <f t="shared" si="104"/>
        <v>001</v>
      </c>
      <c r="F1200" s="141" t="s">
        <v>4326</v>
      </c>
      <c r="G1200" s="141" t="str">
        <f t="shared" si="106"/>
        <v>0489</v>
      </c>
      <c r="H1200" s="141" t="s">
        <v>733</v>
      </c>
      <c r="I1200" s="141" t="str">
        <f t="shared" si="105"/>
        <v>999</v>
      </c>
      <c r="J1200" s="141" t="s">
        <v>4327</v>
      </c>
      <c r="K1200" s="141">
        <v>689</v>
      </c>
      <c r="L1200" s="141">
        <v>1</v>
      </c>
      <c r="M1200" s="141">
        <v>0</v>
      </c>
      <c r="N1200" s="141">
        <v>4000</v>
      </c>
      <c r="O1200" s="141" t="s">
        <v>4397</v>
      </c>
      <c r="P1200" s="141" t="s">
        <v>4467</v>
      </c>
    </row>
    <row r="1201" spans="1:16" ht="25.5">
      <c r="A1201" s="141">
        <v>76807</v>
      </c>
      <c r="B1201" s="141" t="s">
        <v>4325</v>
      </c>
      <c r="C1201" s="142">
        <v>41201</v>
      </c>
      <c r="D1201" s="141">
        <v>316</v>
      </c>
      <c r="E1201" s="141" t="str">
        <f t="shared" si="104"/>
        <v>001</v>
      </c>
      <c r="F1201" s="141" t="s">
        <v>4326</v>
      </c>
      <c r="G1201" s="141" t="str">
        <f>"0492"</f>
        <v>0492</v>
      </c>
      <c r="H1201" s="141" t="s">
        <v>1241</v>
      </c>
      <c r="I1201" s="141" t="str">
        <f t="shared" si="105"/>
        <v>999</v>
      </c>
      <c r="J1201" s="141" t="s">
        <v>4327</v>
      </c>
      <c r="K1201" s="141">
        <v>283</v>
      </c>
      <c r="L1201" s="141">
        <v>4</v>
      </c>
      <c r="M1201" s="141">
        <v>0</v>
      </c>
      <c r="N1201" s="141">
        <v>9000</v>
      </c>
      <c r="O1201" s="141" t="s">
        <v>4334</v>
      </c>
      <c r="P1201" s="141" t="s">
        <v>4363</v>
      </c>
    </row>
    <row r="1202" spans="1:16" ht="25.5">
      <c r="A1202" s="141">
        <v>76807</v>
      </c>
      <c r="B1202" s="141" t="s">
        <v>4325</v>
      </c>
      <c r="C1202" s="142">
        <v>41201</v>
      </c>
      <c r="D1202" s="141">
        <v>316</v>
      </c>
      <c r="E1202" s="141" t="str">
        <f t="shared" si="104"/>
        <v>001</v>
      </c>
      <c r="F1202" s="141" t="s">
        <v>4326</v>
      </c>
      <c r="G1202" s="141" t="str">
        <f>"0492"</f>
        <v>0492</v>
      </c>
      <c r="H1202" s="141" t="s">
        <v>1241</v>
      </c>
      <c r="I1202" s="141" t="str">
        <f t="shared" si="105"/>
        <v>999</v>
      </c>
      <c r="J1202" s="141" t="s">
        <v>4327</v>
      </c>
      <c r="K1202" s="141">
        <v>284</v>
      </c>
      <c r="L1202" s="141">
        <v>1</v>
      </c>
      <c r="M1202" s="141">
        <v>0</v>
      </c>
      <c r="N1202" s="141">
        <v>4000</v>
      </c>
      <c r="O1202" s="141" t="s">
        <v>4330</v>
      </c>
      <c r="P1202" s="141" t="s">
        <v>4348</v>
      </c>
    </row>
    <row r="1203" spans="1:16" ht="25.5">
      <c r="A1203" s="141">
        <v>76807</v>
      </c>
      <c r="B1203" s="141" t="s">
        <v>4325</v>
      </c>
      <c r="C1203" s="142">
        <v>41201</v>
      </c>
      <c r="D1203" s="141">
        <v>1135</v>
      </c>
      <c r="E1203" s="141" t="str">
        <f t="shared" si="104"/>
        <v>001</v>
      </c>
      <c r="F1203" s="141" t="s">
        <v>4326</v>
      </c>
      <c r="G1203" s="141" t="str">
        <f>"0519"</f>
        <v>0519</v>
      </c>
      <c r="H1203" s="141" t="s">
        <v>3462</v>
      </c>
      <c r="I1203" s="141" t="str">
        <f t="shared" si="105"/>
        <v>999</v>
      </c>
      <c r="J1203" s="141" t="s">
        <v>4327</v>
      </c>
      <c r="K1203" s="141">
        <v>2888</v>
      </c>
      <c r="L1203" s="141">
        <v>1</v>
      </c>
      <c r="M1203" s="141">
        <v>0</v>
      </c>
      <c r="N1203" s="141">
        <v>9000</v>
      </c>
      <c r="O1203" s="141" t="s">
        <v>4328</v>
      </c>
      <c r="P1203" s="141" t="s">
        <v>4423</v>
      </c>
    </row>
    <row r="1204" spans="1:16" ht="25.5">
      <c r="A1204" s="141">
        <v>76807</v>
      </c>
      <c r="B1204" s="141" t="s">
        <v>4325</v>
      </c>
      <c r="C1204" s="142">
        <v>41201</v>
      </c>
      <c r="D1204" s="141">
        <v>1135</v>
      </c>
      <c r="E1204" s="141" t="str">
        <f t="shared" si="104"/>
        <v>001</v>
      </c>
      <c r="F1204" s="141" t="s">
        <v>4326</v>
      </c>
      <c r="G1204" s="141" t="str">
        <f>"0519"</f>
        <v>0519</v>
      </c>
      <c r="H1204" s="141" t="s">
        <v>3462</v>
      </c>
      <c r="I1204" s="141" t="str">
        <f t="shared" si="105"/>
        <v>999</v>
      </c>
      <c r="J1204" s="141" t="s">
        <v>4327</v>
      </c>
      <c r="K1204" s="141">
        <v>2952</v>
      </c>
      <c r="L1204" s="141">
        <v>3</v>
      </c>
      <c r="M1204" s="141">
        <v>0</v>
      </c>
      <c r="N1204" s="141">
        <v>9000</v>
      </c>
      <c r="O1204" s="141" t="s">
        <v>4334</v>
      </c>
      <c r="P1204" s="141" t="s">
        <v>4335</v>
      </c>
    </row>
    <row r="1205" spans="1:16" ht="25.5">
      <c r="A1205" s="141">
        <v>76807</v>
      </c>
      <c r="B1205" s="141" t="s">
        <v>4325</v>
      </c>
      <c r="C1205" s="142">
        <v>41201</v>
      </c>
      <c r="D1205" s="141">
        <v>1278</v>
      </c>
      <c r="E1205" s="141" t="str">
        <f t="shared" si="104"/>
        <v>001</v>
      </c>
      <c r="F1205" s="141" t="s">
        <v>4326</v>
      </c>
      <c r="G1205" s="141" t="str">
        <f>"0BCC"</f>
        <v>0BCC</v>
      </c>
      <c r="H1205" s="141" t="s">
        <v>4327</v>
      </c>
      <c r="I1205" s="141" t="str">
        <f t="shared" si="105"/>
        <v>999</v>
      </c>
      <c r="J1205" s="141" t="s">
        <v>4327</v>
      </c>
      <c r="K1205" s="141">
        <v>3390</v>
      </c>
      <c r="L1205" s="141">
        <v>1</v>
      </c>
      <c r="M1205" s="141">
        <v>0</v>
      </c>
      <c r="N1205" s="141">
        <v>2000</v>
      </c>
      <c r="O1205" s="141" t="s">
        <v>4327</v>
      </c>
      <c r="P1205" s="141"/>
    </row>
    <row r="1206" spans="1:16" ht="25.5">
      <c r="A1206" s="141">
        <v>76807</v>
      </c>
      <c r="B1206" s="141" t="s">
        <v>4325</v>
      </c>
      <c r="C1206" s="142">
        <v>41201</v>
      </c>
      <c r="D1206" s="141">
        <v>1156</v>
      </c>
      <c r="E1206" s="141" t="str">
        <f t="shared" si="104"/>
        <v>001</v>
      </c>
      <c r="F1206" s="141" t="s">
        <v>4326</v>
      </c>
      <c r="G1206" s="141" t="str">
        <f>"1046"</f>
        <v>1046</v>
      </c>
      <c r="H1206" s="141" t="s">
        <v>3465</v>
      </c>
      <c r="I1206" s="141" t="str">
        <f t="shared" si="105"/>
        <v>999</v>
      </c>
      <c r="J1206" s="141" t="s">
        <v>4327</v>
      </c>
      <c r="K1206" s="141">
        <v>2940</v>
      </c>
      <c r="L1206" s="141">
        <v>1</v>
      </c>
      <c r="M1206" s="141">
        <v>0</v>
      </c>
      <c r="N1206" s="141">
        <v>7000</v>
      </c>
      <c r="O1206" s="141" t="s">
        <v>4332</v>
      </c>
      <c r="P1206" s="141" t="s">
        <v>4502</v>
      </c>
    </row>
    <row r="1207" spans="1:16" ht="25.5">
      <c r="A1207" s="141">
        <v>76807</v>
      </c>
      <c r="B1207" s="141" t="s">
        <v>4325</v>
      </c>
      <c r="C1207" s="142">
        <v>41201</v>
      </c>
      <c r="D1207" s="141">
        <v>752</v>
      </c>
      <c r="E1207" s="141" t="str">
        <f t="shared" si="104"/>
        <v>001</v>
      </c>
      <c r="F1207" s="141" t="s">
        <v>4326</v>
      </c>
      <c r="G1207" s="141" t="str">
        <f t="shared" ref="G1207:G1213" si="107">"1048"</f>
        <v>1048</v>
      </c>
      <c r="H1207" s="141" t="s">
        <v>2637</v>
      </c>
      <c r="I1207" s="141" t="str">
        <f t="shared" si="105"/>
        <v>999</v>
      </c>
      <c r="J1207" s="141" t="s">
        <v>4327</v>
      </c>
      <c r="K1207" s="141">
        <v>2531</v>
      </c>
      <c r="L1207" s="141">
        <v>1</v>
      </c>
      <c r="M1207" s="141">
        <v>0</v>
      </c>
      <c r="N1207" s="141">
        <v>78000</v>
      </c>
      <c r="O1207" s="141" t="s">
        <v>4337</v>
      </c>
      <c r="P1207" s="141" t="s">
        <v>4715</v>
      </c>
    </row>
    <row r="1208" spans="1:16" ht="25.5">
      <c r="A1208" s="141">
        <v>76807</v>
      </c>
      <c r="B1208" s="141" t="s">
        <v>4325</v>
      </c>
      <c r="C1208" s="142">
        <v>41201</v>
      </c>
      <c r="D1208" s="141">
        <v>752</v>
      </c>
      <c r="E1208" s="141" t="str">
        <f t="shared" si="104"/>
        <v>001</v>
      </c>
      <c r="F1208" s="141" t="s">
        <v>4326</v>
      </c>
      <c r="G1208" s="141" t="str">
        <f t="shared" si="107"/>
        <v>1048</v>
      </c>
      <c r="H1208" s="141" t="s">
        <v>2637</v>
      </c>
      <c r="I1208" s="141" t="str">
        <f t="shared" si="105"/>
        <v>999</v>
      </c>
      <c r="J1208" s="141" t="s">
        <v>4327</v>
      </c>
      <c r="K1208" s="141">
        <v>2532</v>
      </c>
      <c r="L1208" s="141">
        <v>4</v>
      </c>
      <c r="M1208" s="141">
        <v>0</v>
      </c>
      <c r="N1208" s="141">
        <v>30000</v>
      </c>
      <c r="O1208" s="141" t="s">
        <v>4334</v>
      </c>
      <c r="P1208" s="141" t="s">
        <v>4360</v>
      </c>
    </row>
    <row r="1209" spans="1:16" ht="25.5">
      <c r="A1209" s="141">
        <v>76807</v>
      </c>
      <c r="B1209" s="141" t="s">
        <v>4325</v>
      </c>
      <c r="C1209" s="142">
        <v>41201</v>
      </c>
      <c r="D1209" s="141">
        <v>752</v>
      </c>
      <c r="E1209" s="141" t="str">
        <f t="shared" si="104"/>
        <v>001</v>
      </c>
      <c r="F1209" s="141" t="s">
        <v>4326</v>
      </c>
      <c r="G1209" s="141" t="str">
        <f t="shared" si="107"/>
        <v>1048</v>
      </c>
      <c r="H1209" s="141" t="s">
        <v>2637</v>
      </c>
      <c r="I1209" s="141" t="str">
        <f t="shared" si="105"/>
        <v>999</v>
      </c>
      <c r="J1209" s="141" t="s">
        <v>4327</v>
      </c>
      <c r="K1209" s="141">
        <v>2533</v>
      </c>
      <c r="L1209" s="141">
        <v>4</v>
      </c>
      <c r="M1209" s="141">
        <v>0</v>
      </c>
      <c r="N1209" s="141">
        <v>9000</v>
      </c>
      <c r="O1209" s="141" t="s">
        <v>4334</v>
      </c>
      <c r="P1209" s="141" t="s">
        <v>4340</v>
      </c>
    </row>
    <row r="1210" spans="1:16" ht="25.5">
      <c r="A1210" s="141">
        <v>76807</v>
      </c>
      <c r="B1210" s="141" t="s">
        <v>4325</v>
      </c>
      <c r="C1210" s="142">
        <v>41201</v>
      </c>
      <c r="D1210" s="141">
        <v>752</v>
      </c>
      <c r="E1210" s="141" t="str">
        <f t="shared" si="104"/>
        <v>001</v>
      </c>
      <c r="F1210" s="141" t="s">
        <v>4326</v>
      </c>
      <c r="G1210" s="141" t="str">
        <f t="shared" si="107"/>
        <v>1048</v>
      </c>
      <c r="H1210" s="141" t="s">
        <v>2637</v>
      </c>
      <c r="I1210" s="141" t="str">
        <f t="shared" si="105"/>
        <v>999</v>
      </c>
      <c r="J1210" s="141" t="s">
        <v>4327</v>
      </c>
      <c r="K1210" s="141">
        <v>2534</v>
      </c>
      <c r="L1210" s="141">
        <v>4</v>
      </c>
      <c r="M1210" s="141">
        <v>0</v>
      </c>
      <c r="N1210" s="141">
        <v>9000</v>
      </c>
      <c r="O1210" s="141" t="s">
        <v>4334</v>
      </c>
      <c r="P1210" s="141" t="s">
        <v>4385</v>
      </c>
    </row>
    <row r="1211" spans="1:16" ht="25.5">
      <c r="A1211" s="141">
        <v>76807</v>
      </c>
      <c r="B1211" s="141" t="s">
        <v>4325</v>
      </c>
      <c r="C1211" s="142">
        <v>41201</v>
      </c>
      <c r="D1211" s="141">
        <v>752</v>
      </c>
      <c r="E1211" s="141" t="str">
        <f t="shared" si="104"/>
        <v>001</v>
      </c>
      <c r="F1211" s="141" t="s">
        <v>4326</v>
      </c>
      <c r="G1211" s="141" t="str">
        <f t="shared" si="107"/>
        <v>1048</v>
      </c>
      <c r="H1211" s="141" t="s">
        <v>2637</v>
      </c>
      <c r="I1211" s="141" t="str">
        <f t="shared" si="105"/>
        <v>999</v>
      </c>
      <c r="J1211" s="141" t="s">
        <v>4327</v>
      </c>
      <c r="K1211" s="141">
        <v>2535</v>
      </c>
      <c r="L1211" s="141">
        <v>1</v>
      </c>
      <c r="M1211" s="141">
        <v>0</v>
      </c>
      <c r="N1211" s="141">
        <v>54000</v>
      </c>
      <c r="O1211" s="141" t="s">
        <v>4382</v>
      </c>
      <c r="P1211" s="141" t="s">
        <v>4716</v>
      </c>
    </row>
    <row r="1212" spans="1:16" ht="25.5">
      <c r="A1212" s="141">
        <v>76807</v>
      </c>
      <c r="B1212" s="141" t="s">
        <v>4325</v>
      </c>
      <c r="C1212" s="142">
        <v>41201</v>
      </c>
      <c r="D1212" s="141">
        <v>752</v>
      </c>
      <c r="E1212" s="141" t="str">
        <f t="shared" si="104"/>
        <v>001</v>
      </c>
      <c r="F1212" s="141" t="s">
        <v>4326</v>
      </c>
      <c r="G1212" s="141" t="str">
        <f t="shared" si="107"/>
        <v>1048</v>
      </c>
      <c r="H1212" s="141" t="s">
        <v>2637</v>
      </c>
      <c r="I1212" s="141" t="str">
        <f t="shared" si="105"/>
        <v>999</v>
      </c>
      <c r="J1212" s="141" t="s">
        <v>4327</v>
      </c>
      <c r="K1212" s="141">
        <v>2536</v>
      </c>
      <c r="L1212" s="141">
        <v>1</v>
      </c>
      <c r="M1212" s="141">
        <v>0</v>
      </c>
      <c r="N1212" s="141">
        <v>2000</v>
      </c>
      <c r="O1212" s="141" t="s">
        <v>4364</v>
      </c>
      <c r="P1212" s="141" t="s">
        <v>4618</v>
      </c>
    </row>
    <row r="1213" spans="1:16" ht="25.5">
      <c r="A1213" s="141">
        <v>76807</v>
      </c>
      <c r="B1213" s="141" t="s">
        <v>4325</v>
      </c>
      <c r="C1213" s="142">
        <v>41201</v>
      </c>
      <c r="D1213" s="141">
        <v>752</v>
      </c>
      <c r="E1213" s="141" t="str">
        <f t="shared" si="104"/>
        <v>001</v>
      </c>
      <c r="F1213" s="141" t="s">
        <v>4326</v>
      </c>
      <c r="G1213" s="141" t="str">
        <f t="shared" si="107"/>
        <v>1048</v>
      </c>
      <c r="H1213" s="141" t="s">
        <v>2637</v>
      </c>
      <c r="I1213" s="141" t="str">
        <f t="shared" si="105"/>
        <v>999</v>
      </c>
      <c r="J1213" s="141" t="s">
        <v>4327</v>
      </c>
      <c r="K1213" s="141">
        <v>2537</v>
      </c>
      <c r="L1213" s="141">
        <v>1</v>
      </c>
      <c r="M1213" s="141">
        <v>0</v>
      </c>
      <c r="N1213" s="141">
        <v>2000</v>
      </c>
      <c r="O1213" s="141" t="s">
        <v>4717</v>
      </c>
      <c r="P1213" s="141"/>
    </row>
    <row r="1214" spans="1:16" ht="25.5">
      <c r="A1214" s="141">
        <v>76807</v>
      </c>
      <c r="B1214" s="141" t="s">
        <v>4325</v>
      </c>
      <c r="C1214" s="142">
        <v>41201</v>
      </c>
      <c r="D1214" s="141">
        <v>349</v>
      </c>
      <c r="E1214" s="141" t="str">
        <f t="shared" si="104"/>
        <v>001</v>
      </c>
      <c r="F1214" s="141" t="s">
        <v>4326</v>
      </c>
      <c r="G1214" s="141" t="str">
        <f t="shared" ref="G1214:G1220" si="108">"1096"</f>
        <v>1096</v>
      </c>
      <c r="H1214" s="141" t="s">
        <v>2527</v>
      </c>
      <c r="I1214" s="141" t="str">
        <f t="shared" si="105"/>
        <v>999</v>
      </c>
      <c r="J1214" s="141" t="s">
        <v>4327</v>
      </c>
      <c r="K1214" s="141">
        <v>611</v>
      </c>
      <c r="L1214" s="141">
        <v>1</v>
      </c>
      <c r="M1214" s="141">
        <v>0</v>
      </c>
      <c r="N1214" s="141">
        <v>16000</v>
      </c>
      <c r="O1214" s="141" t="s">
        <v>4337</v>
      </c>
      <c r="P1214" s="141" t="s">
        <v>4718</v>
      </c>
    </row>
    <row r="1215" spans="1:16" ht="25.5">
      <c r="A1215" s="141">
        <v>76807</v>
      </c>
      <c r="B1215" s="141" t="s">
        <v>4325</v>
      </c>
      <c r="C1215" s="142">
        <v>41201</v>
      </c>
      <c r="D1215" s="141">
        <v>349</v>
      </c>
      <c r="E1215" s="141" t="str">
        <f t="shared" si="104"/>
        <v>001</v>
      </c>
      <c r="F1215" s="141" t="s">
        <v>4326</v>
      </c>
      <c r="G1215" s="141" t="str">
        <f t="shared" si="108"/>
        <v>1096</v>
      </c>
      <c r="H1215" s="141" t="s">
        <v>2527</v>
      </c>
      <c r="I1215" s="141" t="str">
        <f t="shared" si="105"/>
        <v>999</v>
      </c>
      <c r="J1215" s="141" t="s">
        <v>4327</v>
      </c>
      <c r="K1215" s="141">
        <v>612</v>
      </c>
      <c r="L1215" s="141">
        <v>1</v>
      </c>
      <c r="M1215" s="141">
        <v>0</v>
      </c>
      <c r="N1215" s="141">
        <v>91000</v>
      </c>
      <c r="O1215" s="141" t="s">
        <v>4463</v>
      </c>
      <c r="P1215" s="141" t="s">
        <v>4719</v>
      </c>
    </row>
    <row r="1216" spans="1:16" ht="25.5">
      <c r="A1216" s="141">
        <v>76807</v>
      </c>
      <c r="B1216" s="141" t="s">
        <v>4325</v>
      </c>
      <c r="C1216" s="142">
        <v>41201</v>
      </c>
      <c r="D1216" s="141">
        <v>349</v>
      </c>
      <c r="E1216" s="141" t="str">
        <f t="shared" si="104"/>
        <v>001</v>
      </c>
      <c r="F1216" s="141" t="s">
        <v>4326</v>
      </c>
      <c r="G1216" s="141" t="str">
        <f t="shared" si="108"/>
        <v>1096</v>
      </c>
      <c r="H1216" s="141" t="s">
        <v>2527</v>
      </c>
      <c r="I1216" s="141" t="str">
        <f t="shared" si="105"/>
        <v>999</v>
      </c>
      <c r="J1216" s="141" t="s">
        <v>4327</v>
      </c>
      <c r="K1216" s="141">
        <v>613</v>
      </c>
      <c r="L1216" s="141">
        <v>17</v>
      </c>
      <c r="M1216" s="141">
        <v>0</v>
      </c>
      <c r="N1216" s="141">
        <v>27000</v>
      </c>
      <c r="O1216" s="141" t="s">
        <v>4339</v>
      </c>
      <c r="P1216" s="141" t="s">
        <v>4363</v>
      </c>
    </row>
    <row r="1217" spans="1:16" ht="25.5">
      <c r="A1217" s="141">
        <v>76807</v>
      </c>
      <c r="B1217" s="141" t="s">
        <v>4325</v>
      </c>
      <c r="C1217" s="142">
        <v>41201</v>
      </c>
      <c r="D1217" s="141">
        <v>349</v>
      </c>
      <c r="E1217" s="141" t="str">
        <f t="shared" si="104"/>
        <v>001</v>
      </c>
      <c r="F1217" s="141" t="s">
        <v>4326</v>
      </c>
      <c r="G1217" s="141" t="str">
        <f t="shared" si="108"/>
        <v>1096</v>
      </c>
      <c r="H1217" s="141" t="s">
        <v>2527</v>
      </c>
      <c r="I1217" s="141" t="str">
        <f t="shared" si="105"/>
        <v>999</v>
      </c>
      <c r="J1217" s="141" t="s">
        <v>4327</v>
      </c>
      <c r="K1217" s="141">
        <v>614</v>
      </c>
      <c r="L1217" s="141">
        <v>12</v>
      </c>
      <c r="M1217" s="141">
        <v>0</v>
      </c>
      <c r="N1217" s="141">
        <v>20000</v>
      </c>
      <c r="O1217" s="141" t="s">
        <v>4409</v>
      </c>
      <c r="P1217" s="141" t="s">
        <v>4340</v>
      </c>
    </row>
    <row r="1218" spans="1:16" ht="25.5">
      <c r="A1218" s="141">
        <v>76807</v>
      </c>
      <c r="B1218" s="141" t="s">
        <v>4325</v>
      </c>
      <c r="C1218" s="142">
        <v>41201</v>
      </c>
      <c r="D1218" s="141">
        <v>349</v>
      </c>
      <c r="E1218" s="141" t="str">
        <f t="shared" ref="E1218:E1281" si="109">"001"</f>
        <v>001</v>
      </c>
      <c r="F1218" s="141" t="s">
        <v>4326</v>
      </c>
      <c r="G1218" s="141" t="str">
        <f t="shared" si="108"/>
        <v>1096</v>
      </c>
      <c r="H1218" s="141" t="s">
        <v>2527</v>
      </c>
      <c r="I1218" s="141" t="str">
        <f t="shared" ref="I1218:I1281" si="110">"999"</f>
        <v>999</v>
      </c>
      <c r="J1218" s="141" t="s">
        <v>4327</v>
      </c>
      <c r="K1218" s="141">
        <v>615</v>
      </c>
      <c r="L1218" s="141">
        <v>4</v>
      </c>
      <c r="M1218" s="141">
        <v>0</v>
      </c>
      <c r="N1218" s="141">
        <v>2000</v>
      </c>
      <c r="O1218" s="141" t="s">
        <v>4350</v>
      </c>
      <c r="P1218" s="141"/>
    </row>
    <row r="1219" spans="1:16" ht="25.5">
      <c r="A1219" s="141">
        <v>76807</v>
      </c>
      <c r="B1219" s="141" t="s">
        <v>4325</v>
      </c>
      <c r="C1219" s="142">
        <v>41201</v>
      </c>
      <c r="D1219" s="141">
        <v>349</v>
      </c>
      <c r="E1219" s="141" t="str">
        <f t="shared" si="109"/>
        <v>001</v>
      </c>
      <c r="F1219" s="141" t="s">
        <v>4326</v>
      </c>
      <c r="G1219" s="141" t="str">
        <f t="shared" si="108"/>
        <v>1096</v>
      </c>
      <c r="H1219" s="141" t="s">
        <v>2527</v>
      </c>
      <c r="I1219" s="141" t="str">
        <f t="shared" si="110"/>
        <v>999</v>
      </c>
      <c r="J1219" s="141" t="s">
        <v>4327</v>
      </c>
      <c r="K1219" s="141">
        <v>616</v>
      </c>
      <c r="L1219" s="141">
        <v>2</v>
      </c>
      <c r="M1219" s="141">
        <v>0</v>
      </c>
      <c r="N1219" s="141">
        <v>1000</v>
      </c>
      <c r="O1219" s="141" t="s">
        <v>4381</v>
      </c>
      <c r="P1219" s="141"/>
    </row>
    <row r="1220" spans="1:16" ht="25.5">
      <c r="A1220" s="141">
        <v>76807</v>
      </c>
      <c r="B1220" s="141" t="s">
        <v>4325</v>
      </c>
      <c r="C1220" s="142">
        <v>41201</v>
      </c>
      <c r="D1220" s="141">
        <v>349</v>
      </c>
      <c r="E1220" s="141" t="str">
        <f t="shared" si="109"/>
        <v>001</v>
      </c>
      <c r="F1220" s="141" t="s">
        <v>4326</v>
      </c>
      <c r="G1220" s="141" t="str">
        <f t="shared" si="108"/>
        <v>1096</v>
      </c>
      <c r="H1220" s="141" t="s">
        <v>2527</v>
      </c>
      <c r="I1220" s="141" t="str">
        <f t="shared" si="110"/>
        <v>999</v>
      </c>
      <c r="J1220" s="141" t="s">
        <v>4327</v>
      </c>
      <c r="K1220" s="141">
        <v>617</v>
      </c>
      <c r="L1220" s="141">
        <v>1</v>
      </c>
      <c r="M1220" s="141">
        <v>0</v>
      </c>
      <c r="N1220" s="141">
        <v>2000</v>
      </c>
      <c r="O1220" s="141" t="s">
        <v>4592</v>
      </c>
      <c r="P1220" s="141"/>
    </row>
    <row r="1221" spans="1:16" ht="25.5">
      <c r="A1221" s="141">
        <v>76807</v>
      </c>
      <c r="B1221" s="141" t="s">
        <v>4325</v>
      </c>
      <c r="C1221" s="142">
        <v>41201</v>
      </c>
      <c r="D1221" s="141">
        <v>317</v>
      </c>
      <c r="E1221" s="141" t="str">
        <f t="shared" si="109"/>
        <v>001</v>
      </c>
      <c r="F1221" s="141" t="s">
        <v>4326</v>
      </c>
      <c r="G1221" s="141" t="str">
        <f>"1100"</f>
        <v>1100</v>
      </c>
      <c r="H1221" s="141" t="s">
        <v>1242</v>
      </c>
      <c r="I1221" s="141" t="str">
        <f t="shared" si="110"/>
        <v>999</v>
      </c>
      <c r="J1221" s="141" t="s">
        <v>4327</v>
      </c>
      <c r="K1221" s="141">
        <v>285</v>
      </c>
      <c r="L1221" s="141">
        <v>1</v>
      </c>
      <c r="M1221" s="141">
        <v>0</v>
      </c>
      <c r="N1221" s="141">
        <v>8000</v>
      </c>
      <c r="O1221" s="141" t="s">
        <v>4446</v>
      </c>
      <c r="P1221" s="141"/>
    </row>
    <row r="1222" spans="1:16" ht="25.5">
      <c r="A1222" s="141">
        <v>76807</v>
      </c>
      <c r="B1222" s="141" t="s">
        <v>4325</v>
      </c>
      <c r="C1222" s="142">
        <v>41201</v>
      </c>
      <c r="D1222" s="141">
        <v>317</v>
      </c>
      <c r="E1222" s="141" t="str">
        <f t="shared" si="109"/>
        <v>001</v>
      </c>
      <c r="F1222" s="141" t="s">
        <v>4326</v>
      </c>
      <c r="G1222" s="141" t="str">
        <f>"1100"</f>
        <v>1100</v>
      </c>
      <c r="H1222" s="141" t="s">
        <v>1242</v>
      </c>
      <c r="I1222" s="141" t="str">
        <f t="shared" si="110"/>
        <v>999</v>
      </c>
      <c r="J1222" s="141" t="s">
        <v>4327</v>
      </c>
      <c r="K1222" s="141">
        <v>286</v>
      </c>
      <c r="L1222" s="141">
        <v>1</v>
      </c>
      <c r="M1222" s="141">
        <v>0</v>
      </c>
      <c r="N1222" s="141">
        <v>3000</v>
      </c>
      <c r="O1222" s="141" t="s">
        <v>4330</v>
      </c>
      <c r="P1222" s="141" t="s">
        <v>4331</v>
      </c>
    </row>
    <row r="1223" spans="1:16" ht="25.5">
      <c r="A1223" s="141">
        <v>76807</v>
      </c>
      <c r="B1223" s="141" t="s">
        <v>4325</v>
      </c>
      <c r="C1223" s="142">
        <v>41201</v>
      </c>
      <c r="D1223" s="141">
        <v>317</v>
      </c>
      <c r="E1223" s="141" t="str">
        <f t="shared" si="109"/>
        <v>001</v>
      </c>
      <c r="F1223" s="141" t="s">
        <v>4326</v>
      </c>
      <c r="G1223" s="141" t="str">
        <f>"1100"</f>
        <v>1100</v>
      </c>
      <c r="H1223" s="141" t="s">
        <v>1242</v>
      </c>
      <c r="I1223" s="141" t="str">
        <f t="shared" si="110"/>
        <v>999</v>
      </c>
      <c r="J1223" s="141" t="s">
        <v>4327</v>
      </c>
      <c r="K1223" s="141">
        <v>287</v>
      </c>
      <c r="L1223" s="141">
        <v>1</v>
      </c>
      <c r="M1223" s="141">
        <v>0</v>
      </c>
      <c r="N1223" s="141">
        <v>4000</v>
      </c>
      <c r="O1223" s="141" t="s">
        <v>4330</v>
      </c>
      <c r="P1223" s="141" t="s">
        <v>4348</v>
      </c>
    </row>
    <row r="1224" spans="1:16" ht="25.5">
      <c r="A1224" s="141">
        <v>76807</v>
      </c>
      <c r="B1224" s="141" t="s">
        <v>4325</v>
      </c>
      <c r="C1224" s="142">
        <v>41201</v>
      </c>
      <c r="D1224" s="141">
        <v>317</v>
      </c>
      <c r="E1224" s="141" t="str">
        <f t="shared" si="109"/>
        <v>001</v>
      </c>
      <c r="F1224" s="141" t="s">
        <v>4326</v>
      </c>
      <c r="G1224" s="141" t="str">
        <f>"1100"</f>
        <v>1100</v>
      </c>
      <c r="H1224" s="141" t="s">
        <v>1242</v>
      </c>
      <c r="I1224" s="141" t="str">
        <f t="shared" si="110"/>
        <v>999</v>
      </c>
      <c r="J1224" s="141" t="s">
        <v>4327</v>
      </c>
      <c r="K1224" s="141">
        <v>288</v>
      </c>
      <c r="L1224" s="141">
        <v>1</v>
      </c>
      <c r="M1224" s="141">
        <v>0</v>
      </c>
      <c r="N1224" s="141">
        <v>3000</v>
      </c>
      <c r="O1224" s="141" t="s">
        <v>4330</v>
      </c>
      <c r="P1224" s="141" t="s">
        <v>4331</v>
      </c>
    </row>
    <row r="1225" spans="1:16" ht="25.5">
      <c r="A1225" s="141">
        <v>76807</v>
      </c>
      <c r="B1225" s="141" t="s">
        <v>4325</v>
      </c>
      <c r="C1225" s="142">
        <v>41201</v>
      </c>
      <c r="D1225" s="141">
        <v>317</v>
      </c>
      <c r="E1225" s="141" t="str">
        <f t="shared" si="109"/>
        <v>001</v>
      </c>
      <c r="F1225" s="141" t="s">
        <v>4326</v>
      </c>
      <c r="G1225" s="141" t="str">
        <f>"1100"</f>
        <v>1100</v>
      </c>
      <c r="H1225" s="141" t="s">
        <v>1242</v>
      </c>
      <c r="I1225" s="141" t="str">
        <f t="shared" si="110"/>
        <v>999</v>
      </c>
      <c r="J1225" s="141" t="s">
        <v>4327</v>
      </c>
      <c r="K1225" s="141">
        <v>289</v>
      </c>
      <c r="L1225" s="141">
        <v>15</v>
      </c>
      <c r="M1225" s="141">
        <v>0</v>
      </c>
      <c r="N1225" s="141">
        <v>45000</v>
      </c>
      <c r="O1225" s="141" t="s">
        <v>4334</v>
      </c>
      <c r="P1225" s="141" t="s">
        <v>4340</v>
      </c>
    </row>
    <row r="1226" spans="1:16" ht="25.5">
      <c r="A1226" s="141">
        <v>76807</v>
      </c>
      <c r="B1226" s="141" t="s">
        <v>4325</v>
      </c>
      <c r="C1226" s="142">
        <v>41201</v>
      </c>
      <c r="D1226" s="141">
        <v>350</v>
      </c>
      <c r="E1226" s="141" t="str">
        <f t="shared" si="109"/>
        <v>001</v>
      </c>
      <c r="F1226" s="141" t="s">
        <v>4326</v>
      </c>
      <c r="G1226" s="141" t="str">
        <f>"1106"</f>
        <v>1106</v>
      </c>
      <c r="H1226" s="141" t="s">
        <v>2885</v>
      </c>
      <c r="I1226" s="141" t="str">
        <f t="shared" si="110"/>
        <v>999</v>
      </c>
      <c r="J1226" s="141" t="s">
        <v>4327</v>
      </c>
      <c r="K1226" s="141">
        <v>618</v>
      </c>
      <c r="L1226" s="141">
        <v>1</v>
      </c>
      <c r="M1226" s="141">
        <v>0</v>
      </c>
      <c r="N1226" s="141">
        <v>26000</v>
      </c>
      <c r="O1226" s="141" t="s">
        <v>4328</v>
      </c>
      <c r="P1226" s="141" t="s">
        <v>4338</v>
      </c>
    </row>
    <row r="1227" spans="1:16" ht="25.5">
      <c r="A1227" s="141">
        <v>76807</v>
      </c>
      <c r="B1227" s="141" t="s">
        <v>4325</v>
      </c>
      <c r="C1227" s="142">
        <v>41201</v>
      </c>
      <c r="D1227" s="141">
        <v>350</v>
      </c>
      <c r="E1227" s="141" t="str">
        <f t="shared" si="109"/>
        <v>001</v>
      </c>
      <c r="F1227" s="141" t="s">
        <v>4326</v>
      </c>
      <c r="G1227" s="141" t="str">
        <f>"1106"</f>
        <v>1106</v>
      </c>
      <c r="H1227" s="141" t="s">
        <v>2885</v>
      </c>
      <c r="I1227" s="141" t="str">
        <f t="shared" si="110"/>
        <v>999</v>
      </c>
      <c r="J1227" s="141" t="s">
        <v>4327</v>
      </c>
      <c r="K1227" s="141">
        <v>619</v>
      </c>
      <c r="L1227" s="141">
        <v>2</v>
      </c>
      <c r="M1227" s="141">
        <v>0</v>
      </c>
      <c r="N1227" s="141">
        <v>3000</v>
      </c>
      <c r="O1227" s="141" t="s">
        <v>4409</v>
      </c>
      <c r="P1227" s="141" t="s">
        <v>4340</v>
      </c>
    </row>
    <row r="1228" spans="1:16" ht="25.5">
      <c r="A1228" s="141">
        <v>76807</v>
      </c>
      <c r="B1228" s="141" t="s">
        <v>4325</v>
      </c>
      <c r="C1228" s="142">
        <v>41201</v>
      </c>
      <c r="D1228" s="141">
        <v>350</v>
      </c>
      <c r="E1228" s="141" t="str">
        <f t="shared" si="109"/>
        <v>001</v>
      </c>
      <c r="F1228" s="141" t="s">
        <v>4326</v>
      </c>
      <c r="G1228" s="141" t="str">
        <f>"1106"</f>
        <v>1106</v>
      </c>
      <c r="H1228" s="141" t="s">
        <v>2885</v>
      </c>
      <c r="I1228" s="141" t="str">
        <f t="shared" si="110"/>
        <v>999</v>
      </c>
      <c r="J1228" s="141" t="s">
        <v>4327</v>
      </c>
      <c r="K1228" s="141">
        <v>620</v>
      </c>
      <c r="L1228" s="141">
        <v>2</v>
      </c>
      <c r="M1228" s="141">
        <v>0</v>
      </c>
      <c r="N1228" s="141">
        <v>5000</v>
      </c>
      <c r="O1228" s="141" t="s">
        <v>4409</v>
      </c>
      <c r="P1228" s="141" t="s">
        <v>4335</v>
      </c>
    </row>
    <row r="1229" spans="1:16" ht="25.5">
      <c r="A1229" s="141">
        <v>76807</v>
      </c>
      <c r="B1229" s="141" t="s">
        <v>4325</v>
      </c>
      <c r="C1229" s="142">
        <v>41201</v>
      </c>
      <c r="D1229" s="141">
        <v>350</v>
      </c>
      <c r="E1229" s="141" t="str">
        <f t="shared" si="109"/>
        <v>001</v>
      </c>
      <c r="F1229" s="141" t="s">
        <v>4326</v>
      </c>
      <c r="G1229" s="141" t="str">
        <f>"1106"</f>
        <v>1106</v>
      </c>
      <c r="H1229" s="141" t="s">
        <v>2885</v>
      </c>
      <c r="I1229" s="141" t="str">
        <f t="shared" si="110"/>
        <v>999</v>
      </c>
      <c r="J1229" s="141" t="s">
        <v>4327</v>
      </c>
      <c r="K1229" s="141">
        <v>621</v>
      </c>
      <c r="L1229" s="141">
        <v>1</v>
      </c>
      <c r="M1229" s="141">
        <v>0</v>
      </c>
      <c r="N1229" s="141">
        <v>3000</v>
      </c>
      <c r="O1229" s="141" t="s">
        <v>4397</v>
      </c>
      <c r="P1229" s="141" t="s">
        <v>4354</v>
      </c>
    </row>
    <row r="1230" spans="1:16" ht="25.5">
      <c r="A1230" s="141">
        <v>76807</v>
      </c>
      <c r="B1230" s="141" t="s">
        <v>4325</v>
      </c>
      <c r="C1230" s="142">
        <v>41201</v>
      </c>
      <c r="D1230" s="141">
        <v>350</v>
      </c>
      <c r="E1230" s="141" t="str">
        <f t="shared" si="109"/>
        <v>001</v>
      </c>
      <c r="F1230" s="141" t="s">
        <v>4326</v>
      </c>
      <c r="G1230" s="141" t="str">
        <f>"1106"</f>
        <v>1106</v>
      </c>
      <c r="H1230" s="141" t="s">
        <v>2885</v>
      </c>
      <c r="I1230" s="141" t="str">
        <f t="shared" si="110"/>
        <v>999</v>
      </c>
      <c r="J1230" s="141" t="s">
        <v>4327</v>
      </c>
      <c r="K1230" s="141">
        <v>622</v>
      </c>
      <c r="L1230" s="141">
        <v>1</v>
      </c>
      <c r="M1230" s="141">
        <v>0</v>
      </c>
      <c r="N1230" s="141">
        <v>6000</v>
      </c>
      <c r="O1230" s="141" t="s">
        <v>4364</v>
      </c>
      <c r="P1230" s="141" t="s">
        <v>4720</v>
      </c>
    </row>
    <row r="1231" spans="1:16" ht="25.5">
      <c r="A1231" s="141">
        <v>76807</v>
      </c>
      <c r="B1231" s="141" t="s">
        <v>4325</v>
      </c>
      <c r="C1231" s="142">
        <v>41201</v>
      </c>
      <c r="D1231" s="141">
        <v>355</v>
      </c>
      <c r="E1231" s="141" t="str">
        <f t="shared" si="109"/>
        <v>001</v>
      </c>
      <c r="F1231" s="141" t="s">
        <v>4326</v>
      </c>
      <c r="G1231" s="141" t="str">
        <f>"1108"</f>
        <v>1108</v>
      </c>
      <c r="H1231" s="141" t="s">
        <v>2530</v>
      </c>
      <c r="I1231" s="141" t="str">
        <f t="shared" si="110"/>
        <v>999</v>
      </c>
      <c r="J1231" s="141" t="s">
        <v>4327</v>
      </c>
      <c r="K1231" s="141">
        <v>679</v>
      </c>
      <c r="L1231" s="141">
        <v>1</v>
      </c>
      <c r="M1231" s="141">
        <v>0</v>
      </c>
      <c r="N1231" s="141">
        <v>4000</v>
      </c>
      <c r="O1231" s="141" t="s">
        <v>4330</v>
      </c>
      <c r="P1231" s="141" t="s">
        <v>4348</v>
      </c>
    </row>
    <row r="1232" spans="1:16" ht="25.5">
      <c r="A1232" s="141">
        <v>76807</v>
      </c>
      <c r="B1232" s="141" t="s">
        <v>4325</v>
      </c>
      <c r="C1232" s="142">
        <v>41201</v>
      </c>
      <c r="D1232" s="141">
        <v>355</v>
      </c>
      <c r="E1232" s="141" t="str">
        <f t="shared" si="109"/>
        <v>001</v>
      </c>
      <c r="F1232" s="141" t="s">
        <v>4326</v>
      </c>
      <c r="G1232" s="141" t="str">
        <f>"1108"</f>
        <v>1108</v>
      </c>
      <c r="H1232" s="141" t="s">
        <v>2530</v>
      </c>
      <c r="I1232" s="141" t="str">
        <f t="shared" si="110"/>
        <v>999</v>
      </c>
      <c r="J1232" s="141" t="s">
        <v>4327</v>
      </c>
      <c r="K1232" s="141">
        <v>680</v>
      </c>
      <c r="L1232" s="141">
        <v>1</v>
      </c>
      <c r="M1232" s="141">
        <v>0</v>
      </c>
      <c r="N1232" s="141">
        <v>19000</v>
      </c>
      <c r="O1232" s="141" t="s">
        <v>4328</v>
      </c>
      <c r="P1232" s="141" t="s">
        <v>4721</v>
      </c>
    </row>
    <row r="1233" spans="1:16" ht="25.5">
      <c r="A1233" s="141">
        <v>76807</v>
      </c>
      <c r="B1233" s="141" t="s">
        <v>4325</v>
      </c>
      <c r="C1233" s="142">
        <v>41201</v>
      </c>
      <c r="D1233" s="141">
        <v>355</v>
      </c>
      <c r="E1233" s="141" t="str">
        <f t="shared" si="109"/>
        <v>001</v>
      </c>
      <c r="F1233" s="141" t="s">
        <v>4326</v>
      </c>
      <c r="G1233" s="141" t="str">
        <f>"1108"</f>
        <v>1108</v>
      </c>
      <c r="H1233" s="141" t="s">
        <v>2530</v>
      </c>
      <c r="I1233" s="141" t="str">
        <f t="shared" si="110"/>
        <v>999</v>
      </c>
      <c r="J1233" s="141" t="s">
        <v>4327</v>
      </c>
      <c r="K1233" s="141">
        <v>681</v>
      </c>
      <c r="L1233" s="141">
        <v>1</v>
      </c>
      <c r="M1233" s="141">
        <v>0</v>
      </c>
      <c r="N1233" s="141">
        <v>1000</v>
      </c>
      <c r="O1233" s="141" t="s">
        <v>4350</v>
      </c>
      <c r="P1233" s="141"/>
    </row>
    <row r="1234" spans="1:16" ht="25.5">
      <c r="A1234" s="141">
        <v>76807</v>
      </c>
      <c r="B1234" s="141" t="s">
        <v>4325</v>
      </c>
      <c r="C1234" s="142">
        <v>41201</v>
      </c>
      <c r="D1234" s="141">
        <v>355</v>
      </c>
      <c r="E1234" s="141" t="str">
        <f t="shared" si="109"/>
        <v>001</v>
      </c>
      <c r="F1234" s="141" t="s">
        <v>4326</v>
      </c>
      <c r="G1234" s="141" t="str">
        <f>"1108"</f>
        <v>1108</v>
      </c>
      <c r="H1234" s="141" t="s">
        <v>2530</v>
      </c>
      <c r="I1234" s="141" t="str">
        <f t="shared" si="110"/>
        <v>999</v>
      </c>
      <c r="J1234" s="141" t="s">
        <v>4327</v>
      </c>
      <c r="K1234" s="141">
        <v>682</v>
      </c>
      <c r="L1234" s="141">
        <v>1</v>
      </c>
      <c r="M1234" s="141">
        <v>0</v>
      </c>
      <c r="N1234" s="141">
        <v>10000</v>
      </c>
      <c r="O1234" s="141" t="s">
        <v>2423</v>
      </c>
      <c r="P1234" s="141"/>
    </row>
    <row r="1235" spans="1:16" ht="25.5">
      <c r="A1235" s="141">
        <v>76807</v>
      </c>
      <c r="B1235" s="141" t="s">
        <v>4325</v>
      </c>
      <c r="C1235" s="142">
        <v>41201</v>
      </c>
      <c r="D1235" s="141">
        <v>355</v>
      </c>
      <c r="E1235" s="141" t="str">
        <f t="shared" si="109"/>
        <v>001</v>
      </c>
      <c r="F1235" s="141" t="s">
        <v>4326</v>
      </c>
      <c r="G1235" s="141" t="str">
        <f>"1108"</f>
        <v>1108</v>
      </c>
      <c r="H1235" s="141" t="s">
        <v>2530</v>
      </c>
      <c r="I1235" s="141" t="str">
        <f t="shared" si="110"/>
        <v>999</v>
      </c>
      <c r="J1235" s="141" t="s">
        <v>4327</v>
      </c>
      <c r="K1235" s="141">
        <v>683</v>
      </c>
      <c r="L1235" s="141">
        <v>1</v>
      </c>
      <c r="M1235" s="141">
        <v>0</v>
      </c>
      <c r="N1235" s="141">
        <v>8000</v>
      </c>
      <c r="O1235" s="141" t="s">
        <v>4722</v>
      </c>
      <c r="P1235" s="141"/>
    </row>
    <row r="1236" spans="1:16" ht="25.5">
      <c r="A1236" s="141">
        <v>76807</v>
      </c>
      <c r="B1236" s="141" t="s">
        <v>4325</v>
      </c>
      <c r="C1236" s="142">
        <v>41201</v>
      </c>
      <c r="D1236" s="141">
        <v>425</v>
      </c>
      <c r="E1236" s="141" t="str">
        <f t="shared" si="109"/>
        <v>001</v>
      </c>
      <c r="F1236" s="141" t="s">
        <v>4326</v>
      </c>
      <c r="G1236" s="141" t="str">
        <f>"1113"</f>
        <v>1113</v>
      </c>
      <c r="H1236" s="141" t="s">
        <v>744</v>
      </c>
      <c r="I1236" s="141" t="str">
        <f t="shared" si="110"/>
        <v>999</v>
      </c>
      <c r="J1236" s="141" t="s">
        <v>4327</v>
      </c>
      <c r="K1236" s="141">
        <v>1209</v>
      </c>
      <c r="L1236" s="141">
        <v>1</v>
      </c>
      <c r="M1236" s="141">
        <v>0</v>
      </c>
      <c r="N1236" s="141">
        <v>4000</v>
      </c>
      <c r="O1236" s="141" t="s">
        <v>4337</v>
      </c>
      <c r="P1236" s="141" t="s">
        <v>4449</v>
      </c>
    </row>
    <row r="1237" spans="1:16" ht="25.5">
      <c r="A1237" s="141">
        <v>76807</v>
      </c>
      <c r="B1237" s="141" t="s">
        <v>4325</v>
      </c>
      <c r="C1237" s="142">
        <v>41201</v>
      </c>
      <c r="D1237" s="141">
        <v>708</v>
      </c>
      <c r="E1237" s="141" t="str">
        <f t="shared" si="109"/>
        <v>001</v>
      </c>
      <c r="F1237" s="141" t="s">
        <v>4326</v>
      </c>
      <c r="G1237" s="141" t="str">
        <f>"1114"</f>
        <v>1114</v>
      </c>
      <c r="H1237" s="141" t="s">
        <v>728</v>
      </c>
      <c r="I1237" s="141" t="str">
        <f t="shared" si="110"/>
        <v>999</v>
      </c>
      <c r="J1237" s="141" t="s">
        <v>4327</v>
      </c>
      <c r="K1237" s="141">
        <v>2000</v>
      </c>
      <c r="L1237" s="141">
        <v>1</v>
      </c>
      <c r="M1237" s="141">
        <v>0</v>
      </c>
      <c r="N1237" s="141">
        <v>16000</v>
      </c>
      <c r="O1237" s="141" t="s">
        <v>2423</v>
      </c>
      <c r="P1237" s="141"/>
    </row>
    <row r="1238" spans="1:16" ht="25.5">
      <c r="A1238" s="141">
        <v>76807</v>
      </c>
      <c r="B1238" s="141" t="s">
        <v>4325</v>
      </c>
      <c r="C1238" s="142">
        <v>41201</v>
      </c>
      <c r="D1238" s="141">
        <v>708</v>
      </c>
      <c r="E1238" s="141" t="str">
        <f t="shared" si="109"/>
        <v>001</v>
      </c>
      <c r="F1238" s="141" t="s">
        <v>4326</v>
      </c>
      <c r="G1238" s="141" t="str">
        <f>"1114"</f>
        <v>1114</v>
      </c>
      <c r="H1238" s="141" t="s">
        <v>728</v>
      </c>
      <c r="I1238" s="141" t="str">
        <f t="shared" si="110"/>
        <v>999</v>
      </c>
      <c r="J1238" s="141" t="s">
        <v>4327</v>
      </c>
      <c r="K1238" s="141">
        <v>2001</v>
      </c>
      <c r="L1238" s="141">
        <v>1</v>
      </c>
      <c r="M1238" s="141">
        <v>0</v>
      </c>
      <c r="N1238" s="141">
        <v>9000</v>
      </c>
      <c r="O1238" s="141" t="s">
        <v>4341</v>
      </c>
      <c r="P1238" s="141" t="s">
        <v>4723</v>
      </c>
    </row>
    <row r="1239" spans="1:16" ht="25.5">
      <c r="A1239" s="141">
        <v>76807</v>
      </c>
      <c r="B1239" s="141" t="s">
        <v>4325</v>
      </c>
      <c r="C1239" s="142">
        <v>41201</v>
      </c>
      <c r="D1239" s="141">
        <v>1151</v>
      </c>
      <c r="E1239" s="141" t="str">
        <f t="shared" si="109"/>
        <v>001</v>
      </c>
      <c r="F1239" s="141" t="s">
        <v>4326</v>
      </c>
      <c r="G1239" s="141" t="str">
        <f>"1127"</f>
        <v>1127</v>
      </c>
      <c r="H1239" s="141" t="s">
        <v>3383</v>
      </c>
      <c r="I1239" s="141" t="str">
        <f t="shared" si="110"/>
        <v>999</v>
      </c>
      <c r="J1239" s="141" t="s">
        <v>4327</v>
      </c>
      <c r="K1239" s="141">
        <v>2933</v>
      </c>
      <c r="L1239" s="141">
        <v>1</v>
      </c>
      <c r="M1239" s="141">
        <v>0</v>
      </c>
      <c r="N1239" s="141">
        <v>9000</v>
      </c>
      <c r="O1239" s="141" t="s">
        <v>4332</v>
      </c>
      <c r="P1239" s="141" t="s">
        <v>4708</v>
      </c>
    </row>
    <row r="1240" spans="1:16" ht="25.5">
      <c r="A1240" s="141">
        <v>76807</v>
      </c>
      <c r="B1240" s="141" t="s">
        <v>4325</v>
      </c>
      <c r="C1240" s="142">
        <v>41201</v>
      </c>
      <c r="D1240" s="141">
        <v>1150</v>
      </c>
      <c r="E1240" s="141" t="str">
        <f t="shared" si="109"/>
        <v>001</v>
      </c>
      <c r="F1240" s="141" t="s">
        <v>4326</v>
      </c>
      <c r="G1240" s="141" t="str">
        <f>"1128"</f>
        <v>1128</v>
      </c>
      <c r="H1240" s="141" t="s">
        <v>2351</v>
      </c>
      <c r="I1240" s="141" t="str">
        <f t="shared" si="110"/>
        <v>999</v>
      </c>
      <c r="J1240" s="141" t="s">
        <v>4327</v>
      </c>
      <c r="K1240" s="141">
        <v>2930</v>
      </c>
      <c r="L1240" s="141">
        <v>1</v>
      </c>
      <c r="M1240" s="141">
        <v>0</v>
      </c>
      <c r="N1240" s="141">
        <v>2000</v>
      </c>
      <c r="O1240" s="141" t="s">
        <v>4330</v>
      </c>
      <c r="P1240" s="141" t="s">
        <v>4443</v>
      </c>
    </row>
    <row r="1241" spans="1:16" ht="25.5">
      <c r="A1241" s="141">
        <v>76807</v>
      </c>
      <c r="B1241" s="141" t="s">
        <v>4325</v>
      </c>
      <c r="C1241" s="142">
        <v>41201</v>
      </c>
      <c r="D1241" s="141">
        <v>1150</v>
      </c>
      <c r="E1241" s="141" t="str">
        <f t="shared" si="109"/>
        <v>001</v>
      </c>
      <c r="F1241" s="141" t="s">
        <v>4326</v>
      </c>
      <c r="G1241" s="141" t="str">
        <f>"1128"</f>
        <v>1128</v>
      </c>
      <c r="H1241" s="141" t="s">
        <v>2351</v>
      </c>
      <c r="I1241" s="141" t="str">
        <f t="shared" si="110"/>
        <v>999</v>
      </c>
      <c r="J1241" s="141" t="s">
        <v>4327</v>
      </c>
      <c r="K1241" s="141">
        <v>2931</v>
      </c>
      <c r="L1241" s="141">
        <v>1</v>
      </c>
      <c r="M1241" s="141">
        <v>0</v>
      </c>
      <c r="N1241" s="141">
        <v>50000</v>
      </c>
      <c r="O1241" s="141" t="s">
        <v>4332</v>
      </c>
      <c r="P1241" s="141" t="s">
        <v>4724</v>
      </c>
    </row>
    <row r="1242" spans="1:16" ht="25.5">
      <c r="A1242" s="141">
        <v>76807</v>
      </c>
      <c r="B1242" s="141" t="s">
        <v>4325</v>
      </c>
      <c r="C1242" s="142">
        <v>41201</v>
      </c>
      <c r="D1242" s="141">
        <v>1150</v>
      </c>
      <c r="E1242" s="141" t="str">
        <f t="shared" si="109"/>
        <v>001</v>
      </c>
      <c r="F1242" s="141" t="s">
        <v>4326</v>
      </c>
      <c r="G1242" s="141" t="str">
        <f>"1128"</f>
        <v>1128</v>
      </c>
      <c r="H1242" s="141" t="s">
        <v>2351</v>
      </c>
      <c r="I1242" s="141" t="str">
        <f t="shared" si="110"/>
        <v>999</v>
      </c>
      <c r="J1242" s="141" t="s">
        <v>4327</v>
      </c>
      <c r="K1242" s="141">
        <v>2932</v>
      </c>
      <c r="L1242" s="141">
        <v>14</v>
      </c>
      <c r="M1242" s="141">
        <v>0</v>
      </c>
      <c r="N1242" s="141">
        <v>23000</v>
      </c>
      <c r="O1242" s="141" t="s">
        <v>4409</v>
      </c>
      <c r="P1242" s="141" t="s">
        <v>4340</v>
      </c>
    </row>
    <row r="1243" spans="1:16" ht="25.5">
      <c r="A1243" s="141">
        <v>76807</v>
      </c>
      <c r="B1243" s="141" t="s">
        <v>4325</v>
      </c>
      <c r="C1243" s="142">
        <v>41201</v>
      </c>
      <c r="D1243" s="141">
        <v>1150</v>
      </c>
      <c r="E1243" s="141" t="str">
        <f t="shared" si="109"/>
        <v>001</v>
      </c>
      <c r="F1243" s="141" t="s">
        <v>4326</v>
      </c>
      <c r="G1243" s="141" t="str">
        <f>"1128"</f>
        <v>1128</v>
      </c>
      <c r="H1243" s="141" t="s">
        <v>2351</v>
      </c>
      <c r="I1243" s="141" t="str">
        <f t="shared" si="110"/>
        <v>999</v>
      </c>
      <c r="J1243" s="141" t="s">
        <v>4327</v>
      </c>
      <c r="K1243" s="141">
        <v>2957</v>
      </c>
      <c r="L1243" s="141">
        <v>1</v>
      </c>
      <c r="M1243" s="141">
        <v>0</v>
      </c>
      <c r="N1243" s="141">
        <v>0</v>
      </c>
      <c r="O1243" s="141" t="s">
        <v>4375</v>
      </c>
      <c r="P1243" s="141" t="s">
        <v>4644</v>
      </c>
    </row>
    <row r="1244" spans="1:16" ht="25.5">
      <c r="A1244" s="141">
        <v>76807</v>
      </c>
      <c r="B1244" s="141" t="s">
        <v>4325</v>
      </c>
      <c r="C1244" s="142">
        <v>41201</v>
      </c>
      <c r="D1244" s="141">
        <v>1152</v>
      </c>
      <c r="E1244" s="141" t="str">
        <f t="shared" si="109"/>
        <v>001</v>
      </c>
      <c r="F1244" s="141" t="s">
        <v>4326</v>
      </c>
      <c r="G1244" s="141" t="str">
        <f>"1162"</f>
        <v>1162</v>
      </c>
      <c r="H1244" s="141" t="s">
        <v>2402</v>
      </c>
      <c r="I1244" s="141" t="str">
        <f t="shared" si="110"/>
        <v>999</v>
      </c>
      <c r="J1244" s="141" t="s">
        <v>4327</v>
      </c>
      <c r="K1244" s="141">
        <v>2934</v>
      </c>
      <c r="L1244" s="141">
        <v>1</v>
      </c>
      <c r="M1244" s="141">
        <v>0</v>
      </c>
      <c r="N1244" s="141">
        <v>16000</v>
      </c>
      <c r="O1244" s="141" t="s">
        <v>4332</v>
      </c>
      <c r="P1244" s="141" t="s">
        <v>4725</v>
      </c>
    </row>
    <row r="1245" spans="1:16" ht="25.5">
      <c r="A1245" s="141">
        <v>76807</v>
      </c>
      <c r="B1245" s="141" t="s">
        <v>4325</v>
      </c>
      <c r="C1245" s="142">
        <v>41201</v>
      </c>
      <c r="D1245" s="141">
        <v>338</v>
      </c>
      <c r="E1245" s="141" t="str">
        <f t="shared" si="109"/>
        <v>001</v>
      </c>
      <c r="F1245" s="141" t="s">
        <v>4326</v>
      </c>
      <c r="G1245" s="141" t="str">
        <f t="shared" ref="G1245:G1270" si="111">"1171"</f>
        <v>1171</v>
      </c>
      <c r="H1245" s="141" t="s">
        <v>2503</v>
      </c>
      <c r="I1245" s="141" t="str">
        <f t="shared" si="110"/>
        <v>999</v>
      </c>
      <c r="J1245" s="141" t="s">
        <v>4327</v>
      </c>
      <c r="K1245" s="141">
        <v>498</v>
      </c>
      <c r="L1245" s="141">
        <v>1</v>
      </c>
      <c r="M1245" s="141">
        <v>0</v>
      </c>
      <c r="N1245" s="141">
        <v>32000</v>
      </c>
      <c r="O1245" s="141" t="s">
        <v>4328</v>
      </c>
      <c r="P1245" s="141" t="s">
        <v>4726</v>
      </c>
    </row>
    <row r="1246" spans="1:16" ht="25.5">
      <c r="A1246" s="141">
        <v>76807</v>
      </c>
      <c r="B1246" s="141" t="s">
        <v>4325</v>
      </c>
      <c r="C1246" s="142">
        <v>41201</v>
      </c>
      <c r="D1246" s="141">
        <v>338</v>
      </c>
      <c r="E1246" s="141" t="str">
        <f t="shared" si="109"/>
        <v>001</v>
      </c>
      <c r="F1246" s="141" t="s">
        <v>4326</v>
      </c>
      <c r="G1246" s="141" t="str">
        <f t="shared" si="111"/>
        <v>1171</v>
      </c>
      <c r="H1246" s="141" t="s">
        <v>2503</v>
      </c>
      <c r="I1246" s="141" t="str">
        <f t="shared" si="110"/>
        <v>999</v>
      </c>
      <c r="J1246" s="141" t="s">
        <v>4327</v>
      </c>
      <c r="K1246" s="141">
        <v>499</v>
      </c>
      <c r="L1246" s="141">
        <v>6</v>
      </c>
      <c r="M1246" s="141">
        <v>0</v>
      </c>
      <c r="N1246" s="141">
        <v>27000</v>
      </c>
      <c r="O1246" s="141" t="s">
        <v>4357</v>
      </c>
      <c r="P1246" s="141" t="s">
        <v>4362</v>
      </c>
    </row>
    <row r="1247" spans="1:16" ht="25.5">
      <c r="A1247" s="141">
        <v>76807</v>
      </c>
      <c r="B1247" s="141" t="s">
        <v>4325</v>
      </c>
      <c r="C1247" s="142">
        <v>41201</v>
      </c>
      <c r="D1247" s="141">
        <v>338</v>
      </c>
      <c r="E1247" s="141" t="str">
        <f t="shared" si="109"/>
        <v>001</v>
      </c>
      <c r="F1247" s="141" t="s">
        <v>4326</v>
      </c>
      <c r="G1247" s="141" t="str">
        <f t="shared" si="111"/>
        <v>1171</v>
      </c>
      <c r="H1247" s="141" t="s">
        <v>2503</v>
      </c>
      <c r="I1247" s="141" t="str">
        <f t="shared" si="110"/>
        <v>999</v>
      </c>
      <c r="J1247" s="141" t="s">
        <v>4327</v>
      </c>
      <c r="K1247" s="141">
        <v>500</v>
      </c>
      <c r="L1247" s="141">
        <v>1</v>
      </c>
      <c r="M1247" s="141">
        <v>0</v>
      </c>
      <c r="N1247" s="141">
        <v>5000</v>
      </c>
      <c r="O1247" s="141" t="s">
        <v>4357</v>
      </c>
      <c r="P1247" s="141" t="s">
        <v>4413</v>
      </c>
    </row>
    <row r="1248" spans="1:16" ht="25.5">
      <c r="A1248" s="141">
        <v>76807</v>
      </c>
      <c r="B1248" s="141" t="s">
        <v>4325</v>
      </c>
      <c r="C1248" s="142">
        <v>41201</v>
      </c>
      <c r="D1248" s="141">
        <v>338</v>
      </c>
      <c r="E1248" s="141" t="str">
        <f t="shared" si="109"/>
        <v>001</v>
      </c>
      <c r="F1248" s="141" t="s">
        <v>4326</v>
      </c>
      <c r="G1248" s="141" t="str">
        <f t="shared" si="111"/>
        <v>1171</v>
      </c>
      <c r="H1248" s="141" t="s">
        <v>2503</v>
      </c>
      <c r="I1248" s="141" t="str">
        <f t="shared" si="110"/>
        <v>999</v>
      </c>
      <c r="J1248" s="141" t="s">
        <v>4327</v>
      </c>
      <c r="K1248" s="141">
        <v>501</v>
      </c>
      <c r="L1248" s="141">
        <v>2</v>
      </c>
      <c r="M1248" s="141">
        <v>0</v>
      </c>
      <c r="N1248" s="141">
        <v>13000</v>
      </c>
      <c r="O1248" s="141" t="s">
        <v>4357</v>
      </c>
      <c r="P1248" s="141" t="s">
        <v>4414</v>
      </c>
    </row>
    <row r="1249" spans="1:16" ht="25.5">
      <c r="A1249" s="141">
        <v>76807</v>
      </c>
      <c r="B1249" s="141" t="s">
        <v>4325</v>
      </c>
      <c r="C1249" s="142">
        <v>41201</v>
      </c>
      <c r="D1249" s="141">
        <v>338</v>
      </c>
      <c r="E1249" s="141" t="str">
        <f t="shared" si="109"/>
        <v>001</v>
      </c>
      <c r="F1249" s="141" t="s">
        <v>4326</v>
      </c>
      <c r="G1249" s="141" t="str">
        <f t="shared" si="111"/>
        <v>1171</v>
      </c>
      <c r="H1249" s="141" t="s">
        <v>2503</v>
      </c>
      <c r="I1249" s="141" t="str">
        <f t="shared" si="110"/>
        <v>999</v>
      </c>
      <c r="J1249" s="141" t="s">
        <v>4327</v>
      </c>
      <c r="K1249" s="141">
        <v>502</v>
      </c>
      <c r="L1249" s="141">
        <v>1</v>
      </c>
      <c r="M1249" s="141">
        <v>0</v>
      </c>
      <c r="N1249" s="141">
        <v>7000</v>
      </c>
      <c r="O1249" s="141" t="s">
        <v>4357</v>
      </c>
      <c r="P1249" s="141" t="s">
        <v>4417</v>
      </c>
    </row>
    <row r="1250" spans="1:16" ht="25.5">
      <c r="A1250" s="141">
        <v>76807</v>
      </c>
      <c r="B1250" s="141" t="s">
        <v>4325</v>
      </c>
      <c r="C1250" s="142">
        <v>41201</v>
      </c>
      <c r="D1250" s="141">
        <v>338</v>
      </c>
      <c r="E1250" s="141" t="str">
        <f t="shared" si="109"/>
        <v>001</v>
      </c>
      <c r="F1250" s="141" t="s">
        <v>4326</v>
      </c>
      <c r="G1250" s="141" t="str">
        <f t="shared" si="111"/>
        <v>1171</v>
      </c>
      <c r="H1250" s="141" t="s">
        <v>2503</v>
      </c>
      <c r="I1250" s="141" t="str">
        <f t="shared" si="110"/>
        <v>999</v>
      </c>
      <c r="J1250" s="141" t="s">
        <v>4327</v>
      </c>
      <c r="K1250" s="141">
        <v>503</v>
      </c>
      <c r="L1250" s="141">
        <v>2</v>
      </c>
      <c r="M1250" s="141">
        <v>0</v>
      </c>
      <c r="N1250" s="141">
        <v>19000</v>
      </c>
      <c r="O1250" s="141" t="s">
        <v>4357</v>
      </c>
      <c r="P1250" s="141" t="s">
        <v>4727</v>
      </c>
    </row>
    <row r="1251" spans="1:16" ht="25.5">
      <c r="A1251" s="141">
        <v>76807</v>
      </c>
      <c r="B1251" s="141" t="s">
        <v>4325</v>
      </c>
      <c r="C1251" s="142">
        <v>41201</v>
      </c>
      <c r="D1251" s="141">
        <v>338</v>
      </c>
      <c r="E1251" s="141" t="str">
        <f t="shared" si="109"/>
        <v>001</v>
      </c>
      <c r="F1251" s="141" t="s">
        <v>4326</v>
      </c>
      <c r="G1251" s="141" t="str">
        <f t="shared" si="111"/>
        <v>1171</v>
      </c>
      <c r="H1251" s="141" t="s">
        <v>2503</v>
      </c>
      <c r="I1251" s="141" t="str">
        <f t="shared" si="110"/>
        <v>999</v>
      </c>
      <c r="J1251" s="141" t="s">
        <v>4327</v>
      </c>
      <c r="K1251" s="141">
        <v>504</v>
      </c>
      <c r="L1251" s="141">
        <v>1</v>
      </c>
      <c r="M1251" s="141">
        <v>0</v>
      </c>
      <c r="N1251" s="141">
        <v>19000</v>
      </c>
      <c r="O1251" s="141" t="s">
        <v>4353</v>
      </c>
      <c r="P1251" s="141" t="s">
        <v>4728</v>
      </c>
    </row>
    <row r="1252" spans="1:16" ht="25.5">
      <c r="A1252" s="141">
        <v>76807</v>
      </c>
      <c r="B1252" s="141" t="s">
        <v>4325</v>
      </c>
      <c r="C1252" s="142">
        <v>41201</v>
      </c>
      <c r="D1252" s="141">
        <v>338</v>
      </c>
      <c r="E1252" s="141" t="str">
        <f t="shared" si="109"/>
        <v>001</v>
      </c>
      <c r="F1252" s="141" t="s">
        <v>4326</v>
      </c>
      <c r="G1252" s="141" t="str">
        <f t="shared" si="111"/>
        <v>1171</v>
      </c>
      <c r="H1252" s="141" t="s">
        <v>2503</v>
      </c>
      <c r="I1252" s="141" t="str">
        <f t="shared" si="110"/>
        <v>999</v>
      </c>
      <c r="J1252" s="141" t="s">
        <v>4327</v>
      </c>
      <c r="K1252" s="141">
        <v>505</v>
      </c>
      <c r="L1252" s="141">
        <v>1</v>
      </c>
      <c r="M1252" s="141">
        <v>0</v>
      </c>
      <c r="N1252" s="141">
        <v>12000</v>
      </c>
      <c r="O1252" s="141" t="s">
        <v>4511</v>
      </c>
      <c r="P1252" s="141"/>
    </row>
    <row r="1253" spans="1:16" ht="25.5">
      <c r="A1253" s="141">
        <v>76807</v>
      </c>
      <c r="B1253" s="141" t="s">
        <v>4325</v>
      </c>
      <c r="C1253" s="142">
        <v>41201</v>
      </c>
      <c r="D1253" s="141">
        <v>338</v>
      </c>
      <c r="E1253" s="141" t="str">
        <f t="shared" si="109"/>
        <v>001</v>
      </c>
      <c r="F1253" s="141" t="s">
        <v>4326</v>
      </c>
      <c r="G1253" s="141" t="str">
        <f t="shared" si="111"/>
        <v>1171</v>
      </c>
      <c r="H1253" s="141" t="s">
        <v>2503</v>
      </c>
      <c r="I1253" s="141" t="str">
        <f t="shared" si="110"/>
        <v>999</v>
      </c>
      <c r="J1253" s="141" t="s">
        <v>4327</v>
      </c>
      <c r="K1253" s="141">
        <v>506</v>
      </c>
      <c r="L1253" s="141">
        <v>1</v>
      </c>
      <c r="M1253" s="141">
        <v>0</v>
      </c>
      <c r="N1253" s="141">
        <v>78000</v>
      </c>
      <c r="O1253" s="141" t="s">
        <v>4368</v>
      </c>
      <c r="P1253" s="141"/>
    </row>
    <row r="1254" spans="1:16" ht="25.5">
      <c r="A1254" s="141">
        <v>76807</v>
      </c>
      <c r="B1254" s="141" t="s">
        <v>4325</v>
      </c>
      <c r="C1254" s="142">
        <v>41201</v>
      </c>
      <c r="D1254" s="141">
        <v>338</v>
      </c>
      <c r="E1254" s="141" t="str">
        <f t="shared" si="109"/>
        <v>001</v>
      </c>
      <c r="F1254" s="141" t="s">
        <v>4326</v>
      </c>
      <c r="G1254" s="141" t="str">
        <f t="shared" si="111"/>
        <v>1171</v>
      </c>
      <c r="H1254" s="141" t="s">
        <v>2503</v>
      </c>
      <c r="I1254" s="141" t="str">
        <f t="shared" si="110"/>
        <v>999</v>
      </c>
      <c r="J1254" s="141" t="s">
        <v>4327</v>
      </c>
      <c r="K1254" s="141">
        <v>507</v>
      </c>
      <c r="L1254" s="141">
        <v>1</v>
      </c>
      <c r="M1254" s="141">
        <v>0</v>
      </c>
      <c r="N1254" s="141">
        <v>23000</v>
      </c>
      <c r="O1254" s="141" t="s">
        <v>4369</v>
      </c>
      <c r="P1254" s="141" t="s">
        <v>4729</v>
      </c>
    </row>
    <row r="1255" spans="1:16" ht="25.5">
      <c r="A1255" s="141">
        <v>76807</v>
      </c>
      <c r="B1255" s="141" t="s">
        <v>4325</v>
      </c>
      <c r="C1255" s="142">
        <v>41201</v>
      </c>
      <c r="D1255" s="141">
        <v>338</v>
      </c>
      <c r="E1255" s="141" t="str">
        <f t="shared" si="109"/>
        <v>001</v>
      </c>
      <c r="F1255" s="141" t="s">
        <v>4326</v>
      </c>
      <c r="G1255" s="141" t="str">
        <f t="shared" si="111"/>
        <v>1171</v>
      </c>
      <c r="H1255" s="141" t="s">
        <v>2503</v>
      </c>
      <c r="I1255" s="141" t="str">
        <f t="shared" si="110"/>
        <v>999</v>
      </c>
      <c r="J1255" s="141" t="s">
        <v>4327</v>
      </c>
      <c r="K1255" s="141">
        <v>508</v>
      </c>
      <c r="L1255" s="141">
        <v>5</v>
      </c>
      <c r="M1255" s="141">
        <v>0</v>
      </c>
      <c r="N1255" s="141">
        <v>12000</v>
      </c>
      <c r="O1255" s="141" t="s">
        <v>4347</v>
      </c>
      <c r="P1255" s="141"/>
    </row>
    <row r="1256" spans="1:16" ht="25.5">
      <c r="A1256" s="141">
        <v>76807</v>
      </c>
      <c r="B1256" s="141" t="s">
        <v>4325</v>
      </c>
      <c r="C1256" s="142">
        <v>41201</v>
      </c>
      <c r="D1256" s="141">
        <v>338</v>
      </c>
      <c r="E1256" s="141" t="str">
        <f t="shared" si="109"/>
        <v>001</v>
      </c>
      <c r="F1256" s="141" t="s">
        <v>4326</v>
      </c>
      <c r="G1256" s="141" t="str">
        <f t="shared" si="111"/>
        <v>1171</v>
      </c>
      <c r="H1256" s="141" t="s">
        <v>2503</v>
      </c>
      <c r="I1256" s="141" t="str">
        <f t="shared" si="110"/>
        <v>999</v>
      </c>
      <c r="J1256" s="141" t="s">
        <v>4327</v>
      </c>
      <c r="K1256" s="141">
        <v>509</v>
      </c>
      <c r="L1256" s="141">
        <v>2</v>
      </c>
      <c r="M1256" s="141">
        <v>0</v>
      </c>
      <c r="N1256" s="141">
        <v>13000</v>
      </c>
      <c r="O1256" s="141" t="s">
        <v>4407</v>
      </c>
      <c r="P1256" s="141"/>
    </row>
    <row r="1257" spans="1:16" ht="25.5">
      <c r="A1257" s="141">
        <v>76807</v>
      </c>
      <c r="B1257" s="141" t="s">
        <v>4325</v>
      </c>
      <c r="C1257" s="142">
        <v>41201</v>
      </c>
      <c r="D1257" s="141">
        <v>338</v>
      </c>
      <c r="E1257" s="141" t="str">
        <f t="shared" si="109"/>
        <v>001</v>
      </c>
      <c r="F1257" s="141" t="s">
        <v>4326</v>
      </c>
      <c r="G1257" s="141" t="str">
        <f t="shared" si="111"/>
        <v>1171</v>
      </c>
      <c r="H1257" s="141" t="s">
        <v>2503</v>
      </c>
      <c r="I1257" s="141" t="str">
        <f t="shared" si="110"/>
        <v>999</v>
      </c>
      <c r="J1257" s="141" t="s">
        <v>4327</v>
      </c>
      <c r="K1257" s="141">
        <v>510</v>
      </c>
      <c r="L1257" s="141">
        <v>2</v>
      </c>
      <c r="M1257" s="141">
        <v>0</v>
      </c>
      <c r="N1257" s="141">
        <v>3000</v>
      </c>
      <c r="O1257" s="141" t="s">
        <v>4515</v>
      </c>
      <c r="P1257" s="141"/>
    </row>
    <row r="1258" spans="1:16" ht="25.5">
      <c r="A1258" s="141">
        <v>76807</v>
      </c>
      <c r="B1258" s="141" t="s">
        <v>4325</v>
      </c>
      <c r="C1258" s="142">
        <v>41201</v>
      </c>
      <c r="D1258" s="141">
        <v>338</v>
      </c>
      <c r="E1258" s="141" t="str">
        <f t="shared" si="109"/>
        <v>001</v>
      </c>
      <c r="F1258" s="141" t="s">
        <v>4326</v>
      </c>
      <c r="G1258" s="141" t="str">
        <f t="shared" si="111"/>
        <v>1171</v>
      </c>
      <c r="H1258" s="141" t="s">
        <v>2503</v>
      </c>
      <c r="I1258" s="141" t="str">
        <f t="shared" si="110"/>
        <v>999</v>
      </c>
      <c r="J1258" s="141" t="s">
        <v>4327</v>
      </c>
      <c r="K1258" s="141">
        <v>511</v>
      </c>
      <c r="L1258" s="141">
        <v>1</v>
      </c>
      <c r="M1258" s="141">
        <v>0</v>
      </c>
      <c r="N1258" s="141">
        <v>3000</v>
      </c>
      <c r="O1258" s="141" t="s">
        <v>4405</v>
      </c>
      <c r="P1258" s="141" t="s">
        <v>4539</v>
      </c>
    </row>
    <row r="1259" spans="1:16" ht="25.5">
      <c r="A1259" s="141">
        <v>76807</v>
      </c>
      <c r="B1259" s="141" t="s">
        <v>4325</v>
      </c>
      <c r="C1259" s="142">
        <v>41201</v>
      </c>
      <c r="D1259" s="141">
        <v>338</v>
      </c>
      <c r="E1259" s="141" t="str">
        <f t="shared" si="109"/>
        <v>001</v>
      </c>
      <c r="F1259" s="141" t="s">
        <v>4326</v>
      </c>
      <c r="G1259" s="141" t="str">
        <f t="shared" si="111"/>
        <v>1171</v>
      </c>
      <c r="H1259" s="141" t="s">
        <v>2503</v>
      </c>
      <c r="I1259" s="141" t="str">
        <f t="shared" si="110"/>
        <v>999</v>
      </c>
      <c r="J1259" s="141" t="s">
        <v>4327</v>
      </c>
      <c r="K1259" s="141">
        <v>512</v>
      </c>
      <c r="L1259" s="141">
        <v>1</v>
      </c>
      <c r="M1259" s="141">
        <v>0</v>
      </c>
      <c r="N1259" s="141">
        <v>3000</v>
      </c>
      <c r="O1259" s="141" t="s">
        <v>4405</v>
      </c>
      <c r="P1259" s="141" t="s">
        <v>4539</v>
      </c>
    </row>
    <row r="1260" spans="1:16" ht="25.5">
      <c r="A1260" s="141">
        <v>76807</v>
      </c>
      <c r="B1260" s="141" t="s">
        <v>4325</v>
      </c>
      <c r="C1260" s="142">
        <v>41201</v>
      </c>
      <c r="D1260" s="141">
        <v>338</v>
      </c>
      <c r="E1260" s="141" t="str">
        <f t="shared" si="109"/>
        <v>001</v>
      </c>
      <c r="F1260" s="141" t="s">
        <v>4326</v>
      </c>
      <c r="G1260" s="141" t="str">
        <f t="shared" si="111"/>
        <v>1171</v>
      </c>
      <c r="H1260" s="141" t="s">
        <v>2503</v>
      </c>
      <c r="I1260" s="141" t="str">
        <f t="shared" si="110"/>
        <v>999</v>
      </c>
      <c r="J1260" s="141" t="s">
        <v>4327</v>
      </c>
      <c r="K1260" s="141">
        <v>513</v>
      </c>
      <c r="L1260" s="141">
        <v>1</v>
      </c>
      <c r="M1260" s="141">
        <v>0</v>
      </c>
      <c r="N1260" s="141">
        <v>3000</v>
      </c>
      <c r="O1260" s="141" t="s">
        <v>4405</v>
      </c>
      <c r="P1260" s="141" t="s">
        <v>4539</v>
      </c>
    </row>
    <row r="1261" spans="1:16" ht="25.5">
      <c r="A1261" s="141">
        <v>76807</v>
      </c>
      <c r="B1261" s="141" t="s">
        <v>4325</v>
      </c>
      <c r="C1261" s="142">
        <v>41201</v>
      </c>
      <c r="D1261" s="141">
        <v>338</v>
      </c>
      <c r="E1261" s="141" t="str">
        <f t="shared" si="109"/>
        <v>001</v>
      </c>
      <c r="F1261" s="141" t="s">
        <v>4326</v>
      </c>
      <c r="G1261" s="141" t="str">
        <f t="shared" si="111"/>
        <v>1171</v>
      </c>
      <c r="H1261" s="141" t="s">
        <v>2503</v>
      </c>
      <c r="I1261" s="141" t="str">
        <f t="shared" si="110"/>
        <v>999</v>
      </c>
      <c r="J1261" s="141" t="s">
        <v>4327</v>
      </c>
      <c r="K1261" s="141">
        <v>514</v>
      </c>
      <c r="L1261" s="141">
        <v>1</v>
      </c>
      <c r="M1261" s="141">
        <v>0</v>
      </c>
      <c r="N1261" s="141">
        <v>3000</v>
      </c>
      <c r="O1261" s="141" t="s">
        <v>4405</v>
      </c>
      <c r="P1261" s="141" t="s">
        <v>4539</v>
      </c>
    </row>
    <row r="1262" spans="1:16" ht="25.5">
      <c r="A1262" s="141">
        <v>76807</v>
      </c>
      <c r="B1262" s="141" t="s">
        <v>4325</v>
      </c>
      <c r="C1262" s="142">
        <v>41201</v>
      </c>
      <c r="D1262" s="141">
        <v>338</v>
      </c>
      <c r="E1262" s="141" t="str">
        <f t="shared" si="109"/>
        <v>001</v>
      </c>
      <c r="F1262" s="141" t="s">
        <v>4326</v>
      </c>
      <c r="G1262" s="141" t="str">
        <f t="shared" si="111"/>
        <v>1171</v>
      </c>
      <c r="H1262" s="141" t="s">
        <v>2503</v>
      </c>
      <c r="I1262" s="141" t="str">
        <f t="shared" si="110"/>
        <v>999</v>
      </c>
      <c r="J1262" s="141" t="s">
        <v>4327</v>
      </c>
      <c r="K1262" s="141">
        <v>515</v>
      </c>
      <c r="L1262" s="141">
        <v>1</v>
      </c>
      <c r="M1262" s="141">
        <v>0</v>
      </c>
      <c r="N1262" s="141">
        <v>3000</v>
      </c>
      <c r="O1262" s="141" t="s">
        <v>4405</v>
      </c>
      <c r="P1262" s="141" t="s">
        <v>4539</v>
      </c>
    </row>
    <row r="1263" spans="1:16" ht="25.5">
      <c r="A1263" s="141">
        <v>76807</v>
      </c>
      <c r="B1263" s="141" t="s">
        <v>4325</v>
      </c>
      <c r="C1263" s="142">
        <v>41201</v>
      </c>
      <c r="D1263" s="141">
        <v>338</v>
      </c>
      <c r="E1263" s="141" t="str">
        <f t="shared" si="109"/>
        <v>001</v>
      </c>
      <c r="F1263" s="141" t="s">
        <v>4326</v>
      </c>
      <c r="G1263" s="141" t="str">
        <f t="shared" si="111"/>
        <v>1171</v>
      </c>
      <c r="H1263" s="141" t="s">
        <v>2503</v>
      </c>
      <c r="I1263" s="141" t="str">
        <f t="shared" si="110"/>
        <v>999</v>
      </c>
      <c r="J1263" s="141" t="s">
        <v>4327</v>
      </c>
      <c r="K1263" s="141">
        <v>516</v>
      </c>
      <c r="L1263" s="141">
        <v>1</v>
      </c>
      <c r="M1263" s="141">
        <v>0</v>
      </c>
      <c r="N1263" s="141">
        <v>3000</v>
      </c>
      <c r="O1263" s="141" t="s">
        <v>4405</v>
      </c>
      <c r="P1263" s="141" t="s">
        <v>4539</v>
      </c>
    </row>
    <row r="1264" spans="1:16" ht="25.5">
      <c r="A1264" s="141">
        <v>76807</v>
      </c>
      <c r="B1264" s="141" t="s">
        <v>4325</v>
      </c>
      <c r="C1264" s="142">
        <v>41201</v>
      </c>
      <c r="D1264" s="141">
        <v>338</v>
      </c>
      <c r="E1264" s="141" t="str">
        <f t="shared" si="109"/>
        <v>001</v>
      </c>
      <c r="F1264" s="141" t="s">
        <v>4326</v>
      </c>
      <c r="G1264" s="141" t="str">
        <f t="shared" si="111"/>
        <v>1171</v>
      </c>
      <c r="H1264" s="141" t="s">
        <v>2503</v>
      </c>
      <c r="I1264" s="141" t="str">
        <f t="shared" si="110"/>
        <v>999</v>
      </c>
      <c r="J1264" s="141" t="s">
        <v>4327</v>
      </c>
      <c r="K1264" s="141">
        <v>517</v>
      </c>
      <c r="L1264" s="141">
        <v>1</v>
      </c>
      <c r="M1264" s="141">
        <v>0</v>
      </c>
      <c r="N1264" s="141">
        <v>3000</v>
      </c>
      <c r="O1264" s="141" t="s">
        <v>4371</v>
      </c>
      <c r="P1264" s="141" t="s">
        <v>4539</v>
      </c>
    </row>
    <row r="1265" spans="1:16" ht="25.5">
      <c r="A1265" s="141">
        <v>76807</v>
      </c>
      <c r="B1265" s="141" t="s">
        <v>4325</v>
      </c>
      <c r="C1265" s="142">
        <v>41201</v>
      </c>
      <c r="D1265" s="141">
        <v>338</v>
      </c>
      <c r="E1265" s="141" t="str">
        <f t="shared" si="109"/>
        <v>001</v>
      </c>
      <c r="F1265" s="141" t="s">
        <v>4326</v>
      </c>
      <c r="G1265" s="141" t="str">
        <f t="shared" si="111"/>
        <v>1171</v>
      </c>
      <c r="H1265" s="141" t="s">
        <v>2503</v>
      </c>
      <c r="I1265" s="141" t="str">
        <f t="shared" si="110"/>
        <v>999</v>
      </c>
      <c r="J1265" s="141" t="s">
        <v>4327</v>
      </c>
      <c r="K1265" s="141">
        <v>518</v>
      </c>
      <c r="L1265" s="141">
        <v>1</v>
      </c>
      <c r="M1265" s="141">
        <v>0</v>
      </c>
      <c r="N1265" s="141">
        <v>3000</v>
      </c>
      <c r="O1265" s="141" t="s">
        <v>4371</v>
      </c>
      <c r="P1265" s="141" t="s">
        <v>4539</v>
      </c>
    </row>
    <row r="1266" spans="1:16" ht="25.5">
      <c r="A1266" s="141">
        <v>76807</v>
      </c>
      <c r="B1266" s="141" t="s">
        <v>4325</v>
      </c>
      <c r="C1266" s="142">
        <v>41201</v>
      </c>
      <c r="D1266" s="141">
        <v>338</v>
      </c>
      <c r="E1266" s="141" t="str">
        <f t="shared" si="109"/>
        <v>001</v>
      </c>
      <c r="F1266" s="141" t="s">
        <v>4326</v>
      </c>
      <c r="G1266" s="141" t="str">
        <f t="shared" si="111"/>
        <v>1171</v>
      </c>
      <c r="H1266" s="141" t="s">
        <v>2503</v>
      </c>
      <c r="I1266" s="141" t="str">
        <f t="shared" si="110"/>
        <v>999</v>
      </c>
      <c r="J1266" s="141" t="s">
        <v>4327</v>
      </c>
      <c r="K1266" s="141">
        <v>519</v>
      </c>
      <c r="L1266" s="141">
        <v>4</v>
      </c>
      <c r="M1266" s="141">
        <v>0</v>
      </c>
      <c r="N1266" s="141">
        <v>2000</v>
      </c>
      <c r="O1266" s="141" t="s">
        <v>4350</v>
      </c>
      <c r="P1266" s="141"/>
    </row>
    <row r="1267" spans="1:16" ht="25.5">
      <c r="A1267" s="141">
        <v>76807</v>
      </c>
      <c r="B1267" s="141" t="s">
        <v>4325</v>
      </c>
      <c r="C1267" s="142">
        <v>41201</v>
      </c>
      <c r="D1267" s="141">
        <v>338</v>
      </c>
      <c r="E1267" s="141" t="str">
        <f t="shared" si="109"/>
        <v>001</v>
      </c>
      <c r="F1267" s="141" t="s">
        <v>4326</v>
      </c>
      <c r="G1267" s="141" t="str">
        <f t="shared" si="111"/>
        <v>1171</v>
      </c>
      <c r="H1267" s="141" t="s">
        <v>2503</v>
      </c>
      <c r="I1267" s="141" t="str">
        <f t="shared" si="110"/>
        <v>999</v>
      </c>
      <c r="J1267" s="141" t="s">
        <v>4327</v>
      </c>
      <c r="K1267" s="141">
        <v>520</v>
      </c>
      <c r="L1267" s="141">
        <v>8</v>
      </c>
      <c r="M1267" s="141">
        <v>0</v>
      </c>
      <c r="N1267" s="141">
        <v>6000</v>
      </c>
      <c r="O1267" s="141" t="s">
        <v>4343</v>
      </c>
      <c r="P1267" s="141"/>
    </row>
    <row r="1268" spans="1:16" ht="25.5">
      <c r="A1268" s="141">
        <v>76807</v>
      </c>
      <c r="B1268" s="141" t="s">
        <v>4325</v>
      </c>
      <c r="C1268" s="142">
        <v>41201</v>
      </c>
      <c r="D1268" s="141">
        <v>338</v>
      </c>
      <c r="E1268" s="141" t="str">
        <f t="shared" si="109"/>
        <v>001</v>
      </c>
      <c r="F1268" s="141" t="s">
        <v>4326</v>
      </c>
      <c r="G1268" s="141" t="str">
        <f t="shared" si="111"/>
        <v>1171</v>
      </c>
      <c r="H1268" s="141" t="s">
        <v>2503</v>
      </c>
      <c r="I1268" s="141" t="str">
        <f t="shared" si="110"/>
        <v>999</v>
      </c>
      <c r="J1268" s="141" t="s">
        <v>4327</v>
      </c>
      <c r="K1268" s="141">
        <v>521</v>
      </c>
      <c r="L1268" s="141">
        <v>1</v>
      </c>
      <c r="M1268" s="141">
        <v>0</v>
      </c>
      <c r="N1268" s="141">
        <v>2000</v>
      </c>
      <c r="O1268" s="141" t="s">
        <v>4345</v>
      </c>
      <c r="P1268" s="141"/>
    </row>
    <row r="1269" spans="1:16" ht="25.5">
      <c r="A1269" s="141">
        <v>76807</v>
      </c>
      <c r="B1269" s="141" t="s">
        <v>4325</v>
      </c>
      <c r="C1269" s="142">
        <v>41201</v>
      </c>
      <c r="D1269" s="141">
        <v>338</v>
      </c>
      <c r="E1269" s="141" t="str">
        <f t="shared" si="109"/>
        <v>001</v>
      </c>
      <c r="F1269" s="141" t="s">
        <v>4326</v>
      </c>
      <c r="G1269" s="141" t="str">
        <f t="shared" si="111"/>
        <v>1171</v>
      </c>
      <c r="H1269" s="141" t="s">
        <v>2503</v>
      </c>
      <c r="I1269" s="141" t="str">
        <f t="shared" si="110"/>
        <v>999</v>
      </c>
      <c r="J1269" s="141" t="s">
        <v>4327</v>
      </c>
      <c r="K1269" s="141">
        <v>522</v>
      </c>
      <c r="L1269" s="141">
        <v>1</v>
      </c>
      <c r="M1269" s="141">
        <v>0</v>
      </c>
      <c r="N1269" s="141">
        <v>3000</v>
      </c>
      <c r="O1269" s="141" t="s">
        <v>4364</v>
      </c>
      <c r="P1269" s="141" t="s">
        <v>4365</v>
      </c>
    </row>
    <row r="1270" spans="1:16" ht="25.5">
      <c r="A1270" s="141">
        <v>76807</v>
      </c>
      <c r="B1270" s="141" t="s">
        <v>4325</v>
      </c>
      <c r="C1270" s="142">
        <v>41201</v>
      </c>
      <c r="D1270" s="141">
        <v>338</v>
      </c>
      <c r="E1270" s="141" t="str">
        <f t="shared" si="109"/>
        <v>001</v>
      </c>
      <c r="F1270" s="141" t="s">
        <v>4326</v>
      </c>
      <c r="G1270" s="141" t="str">
        <f t="shared" si="111"/>
        <v>1171</v>
      </c>
      <c r="H1270" s="141" t="s">
        <v>2503</v>
      </c>
      <c r="I1270" s="141" t="str">
        <f t="shared" si="110"/>
        <v>999</v>
      </c>
      <c r="J1270" s="141" t="s">
        <v>4327</v>
      </c>
      <c r="K1270" s="141">
        <v>523</v>
      </c>
      <c r="L1270" s="141">
        <v>3</v>
      </c>
      <c r="M1270" s="141">
        <v>0</v>
      </c>
      <c r="N1270" s="141">
        <v>5000</v>
      </c>
      <c r="O1270" s="141" t="s">
        <v>4592</v>
      </c>
      <c r="P1270" s="141"/>
    </row>
    <row r="1271" spans="1:16" ht="25.5">
      <c r="A1271" s="141">
        <v>76807</v>
      </c>
      <c r="B1271" s="141" t="s">
        <v>4325</v>
      </c>
      <c r="C1271" s="142">
        <v>41201</v>
      </c>
      <c r="D1271" s="141">
        <v>756</v>
      </c>
      <c r="E1271" s="141" t="str">
        <f t="shared" si="109"/>
        <v>001</v>
      </c>
      <c r="F1271" s="141" t="s">
        <v>4326</v>
      </c>
      <c r="G1271" s="141" t="str">
        <f t="shared" ref="G1271:G1315" si="112">"1173"</f>
        <v>1173</v>
      </c>
      <c r="H1271" s="141" t="s">
        <v>996</v>
      </c>
      <c r="I1271" s="141" t="str">
        <f t="shared" si="110"/>
        <v>999</v>
      </c>
      <c r="J1271" s="141" t="s">
        <v>4327</v>
      </c>
      <c r="K1271" s="141">
        <v>2608</v>
      </c>
      <c r="L1271" s="141">
        <v>1</v>
      </c>
      <c r="M1271" s="141">
        <v>0</v>
      </c>
      <c r="N1271" s="141">
        <v>28000</v>
      </c>
      <c r="O1271" s="141" t="s">
        <v>4351</v>
      </c>
      <c r="P1271" s="141" t="s">
        <v>4730</v>
      </c>
    </row>
    <row r="1272" spans="1:16" ht="25.5">
      <c r="A1272" s="141">
        <v>76807</v>
      </c>
      <c r="B1272" s="141" t="s">
        <v>4325</v>
      </c>
      <c r="C1272" s="142">
        <v>41201</v>
      </c>
      <c r="D1272" s="141">
        <v>756</v>
      </c>
      <c r="E1272" s="141" t="str">
        <f t="shared" si="109"/>
        <v>001</v>
      </c>
      <c r="F1272" s="141" t="s">
        <v>4326</v>
      </c>
      <c r="G1272" s="141" t="str">
        <f t="shared" si="112"/>
        <v>1173</v>
      </c>
      <c r="H1272" s="141" t="s">
        <v>996</v>
      </c>
      <c r="I1272" s="141" t="str">
        <f t="shared" si="110"/>
        <v>999</v>
      </c>
      <c r="J1272" s="141" t="s">
        <v>4327</v>
      </c>
      <c r="K1272" s="141">
        <v>2609</v>
      </c>
      <c r="L1272" s="141">
        <v>1</v>
      </c>
      <c r="M1272" s="141">
        <v>0</v>
      </c>
      <c r="N1272" s="141">
        <v>81000</v>
      </c>
      <c r="O1272" s="141" t="s">
        <v>4328</v>
      </c>
      <c r="P1272" s="141" t="s">
        <v>4731</v>
      </c>
    </row>
    <row r="1273" spans="1:16" ht="25.5">
      <c r="A1273" s="141">
        <v>76807</v>
      </c>
      <c r="B1273" s="141" t="s">
        <v>4325</v>
      </c>
      <c r="C1273" s="142">
        <v>41201</v>
      </c>
      <c r="D1273" s="141">
        <v>756</v>
      </c>
      <c r="E1273" s="141" t="str">
        <f t="shared" si="109"/>
        <v>001</v>
      </c>
      <c r="F1273" s="141" t="s">
        <v>4326</v>
      </c>
      <c r="G1273" s="141" t="str">
        <f t="shared" si="112"/>
        <v>1173</v>
      </c>
      <c r="H1273" s="141" t="s">
        <v>996</v>
      </c>
      <c r="I1273" s="141" t="str">
        <f t="shared" si="110"/>
        <v>999</v>
      </c>
      <c r="J1273" s="141" t="s">
        <v>4327</v>
      </c>
      <c r="K1273" s="141">
        <v>2610</v>
      </c>
      <c r="L1273" s="141">
        <v>1</v>
      </c>
      <c r="M1273" s="141">
        <v>0</v>
      </c>
      <c r="N1273" s="141">
        <v>3000</v>
      </c>
      <c r="O1273" s="141" t="s">
        <v>4330</v>
      </c>
      <c r="P1273" s="141" t="s">
        <v>4331</v>
      </c>
    </row>
    <row r="1274" spans="1:16" ht="25.5">
      <c r="A1274" s="141">
        <v>76807</v>
      </c>
      <c r="B1274" s="141" t="s">
        <v>4325</v>
      </c>
      <c r="C1274" s="142">
        <v>41201</v>
      </c>
      <c r="D1274" s="141">
        <v>756</v>
      </c>
      <c r="E1274" s="141" t="str">
        <f t="shared" si="109"/>
        <v>001</v>
      </c>
      <c r="F1274" s="141" t="s">
        <v>4326</v>
      </c>
      <c r="G1274" s="141" t="str">
        <f t="shared" si="112"/>
        <v>1173</v>
      </c>
      <c r="H1274" s="141" t="s">
        <v>996</v>
      </c>
      <c r="I1274" s="141" t="str">
        <f t="shared" si="110"/>
        <v>999</v>
      </c>
      <c r="J1274" s="141" t="s">
        <v>4327</v>
      </c>
      <c r="K1274" s="141">
        <v>2611</v>
      </c>
      <c r="L1274" s="141">
        <v>1</v>
      </c>
      <c r="M1274" s="141">
        <v>0</v>
      </c>
      <c r="N1274" s="141">
        <v>112000</v>
      </c>
      <c r="O1274" s="141" t="s">
        <v>4366</v>
      </c>
      <c r="P1274" s="141" t="s">
        <v>4367</v>
      </c>
    </row>
    <row r="1275" spans="1:16" ht="25.5">
      <c r="A1275" s="141">
        <v>76807</v>
      </c>
      <c r="B1275" s="141" t="s">
        <v>4325</v>
      </c>
      <c r="C1275" s="142">
        <v>41201</v>
      </c>
      <c r="D1275" s="141">
        <v>756</v>
      </c>
      <c r="E1275" s="141" t="str">
        <f t="shared" si="109"/>
        <v>001</v>
      </c>
      <c r="F1275" s="141" t="s">
        <v>4326</v>
      </c>
      <c r="G1275" s="141" t="str">
        <f t="shared" si="112"/>
        <v>1173</v>
      </c>
      <c r="H1275" s="141" t="s">
        <v>996</v>
      </c>
      <c r="I1275" s="141" t="str">
        <f t="shared" si="110"/>
        <v>999</v>
      </c>
      <c r="J1275" s="141" t="s">
        <v>4327</v>
      </c>
      <c r="K1275" s="141">
        <v>2612</v>
      </c>
      <c r="L1275" s="141">
        <v>4</v>
      </c>
      <c r="M1275" s="141">
        <v>0</v>
      </c>
      <c r="N1275" s="141">
        <v>14000</v>
      </c>
      <c r="O1275" s="141" t="s">
        <v>4540</v>
      </c>
      <c r="P1275" s="141"/>
    </row>
    <row r="1276" spans="1:16" ht="25.5">
      <c r="A1276" s="141">
        <v>76807</v>
      </c>
      <c r="B1276" s="141" t="s">
        <v>4325</v>
      </c>
      <c r="C1276" s="142">
        <v>41201</v>
      </c>
      <c r="D1276" s="141">
        <v>756</v>
      </c>
      <c r="E1276" s="141" t="str">
        <f t="shared" si="109"/>
        <v>001</v>
      </c>
      <c r="F1276" s="141" t="s">
        <v>4326</v>
      </c>
      <c r="G1276" s="141" t="str">
        <f t="shared" si="112"/>
        <v>1173</v>
      </c>
      <c r="H1276" s="141" t="s">
        <v>996</v>
      </c>
      <c r="I1276" s="141" t="str">
        <f t="shared" si="110"/>
        <v>999</v>
      </c>
      <c r="J1276" s="141" t="s">
        <v>4327</v>
      </c>
      <c r="K1276" s="141">
        <v>2613</v>
      </c>
      <c r="L1276" s="141">
        <v>1</v>
      </c>
      <c r="M1276" s="141">
        <v>0</v>
      </c>
      <c r="N1276" s="141">
        <v>4000</v>
      </c>
      <c r="O1276" s="141" t="s">
        <v>4397</v>
      </c>
      <c r="P1276" s="141" t="s">
        <v>4467</v>
      </c>
    </row>
    <row r="1277" spans="1:16" ht="25.5">
      <c r="A1277" s="141">
        <v>76807</v>
      </c>
      <c r="B1277" s="141" t="s">
        <v>4325</v>
      </c>
      <c r="C1277" s="142">
        <v>41201</v>
      </c>
      <c r="D1277" s="141">
        <v>756</v>
      </c>
      <c r="E1277" s="141" t="str">
        <f t="shared" si="109"/>
        <v>001</v>
      </c>
      <c r="F1277" s="141" t="s">
        <v>4326</v>
      </c>
      <c r="G1277" s="141" t="str">
        <f t="shared" si="112"/>
        <v>1173</v>
      </c>
      <c r="H1277" s="141" t="s">
        <v>996</v>
      </c>
      <c r="I1277" s="141" t="str">
        <f t="shared" si="110"/>
        <v>999</v>
      </c>
      <c r="J1277" s="141" t="s">
        <v>4327</v>
      </c>
      <c r="K1277" s="141">
        <v>2614</v>
      </c>
      <c r="L1277" s="141">
        <v>1</v>
      </c>
      <c r="M1277" s="141">
        <v>0</v>
      </c>
      <c r="N1277" s="141">
        <v>4000</v>
      </c>
      <c r="O1277" s="141" t="s">
        <v>4397</v>
      </c>
      <c r="P1277" s="141" t="s">
        <v>4467</v>
      </c>
    </row>
    <row r="1278" spans="1:16" ht="25.5">
      <c r="A1278" s="141">
        <v>76807</v>
      </c>
      <c r="B1278" s="141" t="s">
        <v>4325</v>
      </c>
      <c r="C1278" s="142">
        <v>41201</v>
      </c>
      <c r="D1278" s="141">
        <v>756</v>
      </c>
      <c r="E1278" s="141" t="str">
        <f t="shared" si="109"/>
        <v>001</v>
      </c>
      <c r="F1278" s="141" t="s">
        <v>4326</v>
      </c>
      <c r="G1278" s="141" t="str">
        <f t="shared" si="112"/>
        <v>1173</v>
      </c>
      <c r="H1278" s="141" t="s">
        <v>996</v>
      </c>
      <c r="I1278" s="141" t="str">
        <f t="shared" si="110"/>
        <v>999</v>
      </c>
      <c r="J1278" s="141" t="s">
        <v>4327</v>
      </c>
      <c r="K1278" s="141">
        <v>2615</v>
      </c>
      <c r="L1278" s="141">
        <v>1</v>
      </c>
      <c r="M1278" s="141">
        <v>0</v>
      </c>
      <c r="N1278" s="141">
        <v>5000</v>
      </c>
      <c r="O1278" s="141" t="s">
        <v>4353</v>
      </c>
      <c r="P1278" s="141" t="s">
        <v>4467</v>
      </c>
    </row>
    <row r="1279" spans="1:16" ht="25.5">
      <c r="A1279" s="141">
        <v>76807</v>
      </c>
      <c r="B1279" s="141" t="s">
        <v>4325</v>
      </c>
      <c r="C1279" s="142">
        <v>41201</v>
      </c>
      <c r="D1279" s="141">
        <v>756</v>
      </c>
      <c r="E1279" s="141" t="str">
        <f t="shared" si="109"/>
        <v>001</v>
      </c>
      <c r="F1279" s="141" t="s">
        <v>4326</v>
      </c>
      <c r="G1279" s="141" t="str">
        <f t="shared" si="112"/>
        <v>1173</v>
      </c>
      <c r="H1279" s="141" t="s">
        <v>996</v>
      </c>
      <c r="I1279" s="141" t="str">
        <f t="shared" si="110"/>
        <v>999</v>
      </c>
      <c r="J1279" s="141" t="s">
        <v>4327</v>
      </c>
      <c r="K1279" s="141">
        <v>2616</v>
      </c>
      <c r="L1279" s="141">
        <v>1</v>
      </c>
      <c r="M1279" s="141">
        <v>0</v>
      </c>
      <c r="N1279" s="141">
        <v>35000</v>
      </c>
      <c r="O1279" s="141" t="s">
        <v>4619</v>
      </c>
      <c r="P1279" s="141"/>
    </row>
    <row r="1280" spans="1:16" ht="25.5">
      <c r="A1280" s="141">
        <v>76807</v>
      </c>
      <c r="B1280" s="141" t="s">
        <v>4325</v>
      </c>
      <c r="C1280" s="142">
        <v>41201</v>
      </c>
      <c r="D1280" s="141">
        <v>756</v>
      </c>
      <c r="E1280" s="141" t="str">
        <f t="shared" si="109"/>
        <v>001</v>
      </c>
      <c r="F1280" s="141" t="s">
        <v>4326</v>
      </c>
      <c r="G1280" s="141" t="str">
        <f t="shared" si="112"/>
        <v>1173</v>
      </c>
      <c r="H1280" s="141" t="s">
        <v>996</v>
      </c>
      <c r="I1280" s="141" t="str">
        <f t="shared" si="110"/>
        <v>999</v>
      </c>
      <c r="J1280" s="141" t="s">
        <v>4327</v>
      </c>
      <c r="K1280" s="141">
        <v>2617</v>
      </c>
      <c r="L1280" s="141">
        <v>3</v>
      </c>
      <c r="M1280" s="141">
        <v>0</v>
      </c>
      <c r="N1280" s="141">
        <v>17000</v>
      </c>
      <c r="O1280" s="141" t="s">
        <v>4732</v>
      </c>
      <c r="P1280" s="141"/>
    </row>
    <row r="1281" spans="1:16" ht="25.5">
      <c r="A1281" s="141">
        <v>76807</v>
      </c>
      <c r="B1281" s="141" t="s">
        <v>4325</v>
      </c>
      <c r="C1281" s="142">
        <v>41201</v>
      </c>
      <c r="D1281" s="141">
        <v>756</v>
      </c>
      <c r="E1281" s="141" t="str">
        <f t="shared" si="109"/>
        <v>001</v>
      </c>
      <c r="F1281" s="141" t="s">
        <v>4326</v>
      </c>
      <c r="G1281" s="141" t="str">
        <f t="shared" si="112"/>
        <v>1173</v>
      </c>
      <c r="H1281" s="141" t="s">
        <v>996</v>
      </c>
      <c r="I1281" s="141" t="str">
        <f t="shared" si="110"/>
        <v>999</v>
      </c>
      <c r="J1281" s="141" t="s">
        <v>4327</v>
      </c>
      <c r="K1281" s="141">
        <v>2618</v>
      </c>
      <c r="L1281" s="141">
        <v>18</v>
      </c>
      <c r="M1281" s="141">
        <v>0</v>
      </c>
      <c r="N1281" s="141">
        <v>68000</v>
      </c>
      <c r="O1281" s="141" t="s">
        <v>4357</v>
      </c>
      <c r="P1281" s="141" t="s">
        <v>4361</v>
      </c>
    </row>
    <row r="1282" spans="1:16" ht="25.5">
      <c r="A1282" s="141">
        <v>76807</v>
      </c>
      <c r="B1282" s="141" t="s">
        <v>4325</v>
      </c>
      <c r="C1282" s="142">
        <v>41201</v>
      </c>
      <c r="D1282" s="141">
        <v>756</v>
      </c>
      <c r="E1282" s="141" t="str">
        <f t="shared" ref="E1282:E1345" si="113">"001"</f>
        <v>001</v>
      </c>
      <c r="F1282" s="141" t="s">
        <v>4326</v>
      </c>
      <c r="G1282" s="141" t="str">
        <f t="shared" si="112"/>
        <v>1173</v>
      </c>
      <c r="H1282" s="141" t="s">
        <v>996</v>
      </c>
      <c r="I1282" s="141" t="str">
        <f t="shared" ref="I1282:I1345" si="114">"999"</f>
        <v>999</v>
      </c>
      <c r="J1282" s="141" t="s">
        <v>4327</v>
      </c>
      <c r="K1282" s="141">
        <v>2619</v>
      </c>
      <c r="L1282" s="141">
        <v>8</v>
      </c>
      <c r="M1282" s="141">
        <v>0</v>
      </c>
      <c r="N1282" s="141">
        <v>27000</v>
      </c>
      <c r="O1282" s="141" t="s">
        <v>4357</v>
      </c>
      <c r="P1282" s="141" t="s">
        <v>4335</v>
      </c>
    </row>
    <row r="1283" spans="1:16" ht="25.5">
      <c r="A1283" s="141">
        <v>76807</v>
      </c>
      <c r="B1283" s="141" t="s">
        <v>4325</v>
      </c>
      <c r="C1283" s="142">
        <v>41201</v>
      </c>
      <c r="D1283" s="141">
        <v>756</v>
      </c>
      <c r="E1283" s="141" t="str">
        <f t="shared" si="113"/>
        <v>001</v>
      </c>
      <c r="F1283" s="141" t="s">
        <v>4326</v>
      </c>
      <c r="G1283" s="141" t="str">
        <f t="shared" si="112"/>
        <v>1173</v>
      </c>
      <c r="H1283" s="141" t="s">
        <v>996</v>
      </c>
      <c r="I1283" s="141" t="str">
        <f t="shared" si="114"/>
        <v>999</v>
      </c>
      <c r="J1283" s="141" t="s">
        <v>4327</v>
      </c>
      <c r="K1283" s="141">
        <v>2620</v>
      </c>
      <c r="L1283" s="141">
        <v>3</v>
      </c>
      <c r="M1283" s="141">
        <v>0</v>
      </c>
      <c r="N1283" s="141">
        <v>49000</v>
      </c>
      <c r="O1283" s="141" t="s">
        <v>4357</v>
      </c>
      <c r="P1283" s="141" t="s">
        <v>4733</v>
      </c>
    </row>
    <row r="1284" spans="1:16" ht="25.5">
      <c r="A1284" s="141">
        <v>76807</v>
      </c>
      <c r="B1284" s="141" t="s">
        <v>4325</v>
      </c>
      <c r="C1284" s="142">
        <v>41201</v>
      </c>
      <c r="D1284" s="141">
        <v>756</v>
      </c>
      <c r="E1284" s="141" t="str">
        <f t="shared" si="113"/>
        <v>001</v>
      </c>
      <c r="F1284" s="141" t="s">
        <v>4326</v>
      </c>
      <c r="G1284" s="141" t="str">
        <f t="shared" si="112"/>
        <v>1173</v>
      </c>
      <c r="H1284" s="141" t="s">
        <v>996</v>
      </c>
      <c r="I1284" s="141" t="str">
        <f t="shared" si="114"/>
        <v>999</v>
      </c>
      <c r="J1284" s="141" t="s">
        <v>4327</v>
      </c>
      <c r="K1284" s="141">
        <v>2621</v>
      </c>
      <c r="L1284" s="141">
        <v>1</v>
      </c>
      <c r="M1284" s="141">
        <v>0</v>
      </c>
      <c r="N1284" s="141">
        <v>3000</v>
      </c>
      <c r="O1284" s="141" t="s">
        <v>4357</v>
      </c>
      <c r="P1284" s="141" t="s">
        <v>4340</v>
      </c>
    </row>
    <row r="1285" spans="1:16" ht="25.5">
      <c r="A1285" s="141">
        <v>76807</v>
      </c>
      <c r="B1285" s="141" t="s">
        <v>4325</v>
      </c>
      <c r="C1285" s="142">
        <v>41201</v>
      </c>
      <c r="D1285" s="141">
        <v>756</v>
      </c>
      <c r="E1285" s="141" t="str">
        <f t="shared" si="113"/>
        <v>001</v>
      </c>
      <c r="F1285" s="141" t="s">
        <v>4326</v>
      </c>
      <c r="G1285" s="141" t="str">
        <f t="shared" si="112"/>
        <v>1173</v>
      </c>
      <c r="H1285" s="141" t="s">
        <v>996</v>
      </c>
      <c r="I1285" s="141" t="str">
        <f t="shared" si="114"/>
        <v>999</v>
      </c>
      <c r="J1285" s="141" t="s">
        <v>4327</v>
      </c>
      <c r="K1285" s="141">
        <v>2622</v>
      </c>
      <c r="L1285" s="141">
        <v>7</v>
      </c>
      <c r="M1285" s="141">
        <v>0</v>
      </c>
      <c r="N1285" s="141">
        <v>70000</v>
      </c>
      <c r="O1285" s="141" t="s">
        <v>4357</v>
      </c>
      <c r="P1285" s="141" t="s">
        <v>4734</v>
      </c>
    </row>
    <row r="1286" spans="1:16" ht="25.5">
      <c r="A1286" s="141">
        <v>76807</v>
      </c>
      <c r="B1286" s="141" t="s">
        <v>4325</v>
      </c>
      <c r="C1286" s="142">
        <v>41201</v>
      </c>
      <c r="D1286" s="141">
        <v>756</v>
      </c>
      <c r="E1286" s="141" t="str">
        <f t="shared" si="113"/>
        <v>001</v>
      </c>
      <c r="F1286" s="141" t="s">
        <v>4326</v>
      </c>
      <c r="G1286" s="141" t="str">
        <f t="shared" si="112"/>
        <v>1173</v>
      </c>
      <c r="H1286" s="141" t="s">
        <v>996</v>
      </c>
      <c r="I1286" s="141" t="str">
        <f t="shared" si="114"/>
        <v>999</v>
      </c>
      <c r="J1286" s="141" t="s">
        <v>4327</v>
      </c>
      <c r="K1286" s="141">
        <v>2623</v>
      </c>
      <c r="L1286" s="141">
        <v>6</v>
      </c>
      <c r="M1286" s="141">
        <v>0</v>
      </c>
      <c r="N1286" s="141">
        <v>68000</v>
      </c>
      <c r="O1286" s="141" t="s">
        <v>4357</v>
      </c>
      <c r="P1286" s="141" t="s">
        <v>4391</v>
      </c>
    </row>
    <row r="1287" spans="1:16" ht="25.5">
      <c r="A1287" s="141">
        <v>76807</v>
      </c>
      <c r="B1287" s="141" t="s">
        <v>4325</v>
      </c>
      <c r="C1287" s="142">
        <v>41201</v>
      </c>
      <c r="D1287" s="141">
        <v>756</v>
      </c>
      <c r="E1287" s="141" t="str">
        <f t="shared" si="113"/>
        <v>001</v>
      </c>
      <c r="F1287" s="141" t="s">
        <v>4326</v>
      </c>
      <c r="G1287" s="141" t="str">
        <f t="shared" si="112"/>
        <v>1173</v>
      </c>
      <c r="H1287" s="141" t="s">
        <v>996</v>
      </c>
      <c r="I1287" s="141" t="str">
        <f t="shared" si="114"/>
        <v>999</v>
      </c>
      <c r="J1287" s="141" t="s">
        <v>4327</v>
      </c>
      <c r="K1287" s="141">
        <v>2624</v>
      </c>
      <c r="L1287" s="141">
        <v>2</v>
      </c>
      <c r="M1287" s="141">
        <v>0</v>
      </c>
      <c r="N1287" s="141">
        <v>20000</v>
      </c>
      <c r="O1287" s="141" t="s">
        <v>4357</v>
      </c>
      <c r="P1287" s="141" t="s">
        <v>4734</v>
      </c>
    </row>
    <row r="1288" spans="1:16" ht="25.5">
      <c r="A1288" s="141">
        <v>76807</v>
      </c>
      <c r="B1288" s="141" t="s">
        <v>4325</v>
      </c>
      <c r="C1288" s="142">
        <v>41201</v>
      </c>
      <c r="D1288" s="141">
        <v>756</v>
      </c>
      <c r="E1288" s="141" t="str">
        <f t="shared" si="113"/>
        <v>001</v>
      </c>
      <c r="F1288" s="141" t="s">
        <v>4326</v>
      </c>
      <c r="G1288" s="141" t="str">
        <f t="shared" si="112"/>
        <v>1173</v>
      </c>
      <c r="H1288" s="141" t="s">
        <v>996</v>
      </c>
      <c r="I1288" s="141" t="str">
        <f t="shared" si="114"/>
        <v>999</v>
      </c>
      <c r="J1288" s="141" t="s">
        <v>4327</v>
      </c>
      <c r="K1288" s="141">
        <v>2625</v>
      </c>
      <c r="L1288" s="141">
        <v>1</v>
      </c>
      <c r="M1288" s="141">
        <v>0</v>
      </c>
      <c r="N1288" s="141">
        <v>14000</v>
      </c>
      <c r="O1288" s="141" t="s">
        <v>4357</v>
      </c>
      <c r="P1288" s="141" t="s">
        <v>4735</v>
      </c>
    </row>
    <row r="1289" spans="1:16" ht="25.5">
      <c r="A1289" s="141">
        <v>76807</v>
      </c>
      <c r="B1289" s="141" t="s">
        <v>4325</v>
      </c>
      <c r="C1289" s="142">
        <v>41201</v>
      </c>
      <c r="D1289" s="141">
        <v>756</v>
      </c>
      <c r="E1289" s="141" t="str">
        <f t="shared" si="113"/>
        <v>001</v>
      </c>
      <c r="F1289" s="141" t="s">
        <v>4326</v>
      </c>
      <c r="G1289" s="141" t="str">
        <f t="shared" si="112"/>
        <v>1173</v>
      </c>
      <c r="H1289" s="141" t="s">
        <v>996</v>
      </c>
      <c r="I1289" s="141" t="str">
        <f t="shared" si="114"/>
        <v>999</v>
      </c>
      <c r="J1289" s="141" t="s">
        <v>4327</v>
      </c>
      <c r="K1289" s="141">
        <v>2626</v>
      </c>
      <c r="L1289" s="141">
        <v>1</v>
      </c>
      <c r="M1289" s="141">
        <v>0</v>
      </c>
      <c r="N1289" s="141">
        <v>3000</v>
      </c>
      <c r="O1289" s="141" t="s">
        <v>4409</v>
      </c>
      <c r="P1289" s="141" t="s">
        <v>4517</v>
      </c>
    </row>
    <row r="1290" spans="1:16" ht="25.5">
      <c r="A1290" s="141">
        <v>76807</v>
      </c>
      <c r="B1290" s="141" t="s">
        <v>4325</v>
      </c>
      <c r="C1290" s="142">
        <v>41201</v>
      </c>
      <c r="D1290" s="141">
        <v>756</v>
      </c>
      <c r="E1290" s="141" t="str">
        <f t="shared" si="113"/>
        <v>001</v>
      </c>
      <c r="F1290" s="141" t="s">
        <v>4326</v>
      </c>
      <c r="G1290" s="141" t="str">
        <f t="shared" si="112"/>
        <v>1173</v>
      </c>
      <c r="H1290" s="141" t="s">
        <v>996</v>
      </c>
      <c r="I1290" s="141" t="str">
        <f t="shared" si="114"/>
        <v>999</v>
      </c>
      <c r="J1290" s="141" t="s">
        <v>4327</v>
      </c>
      <c r="K1290" s="141">
        <v>2627</v>
      </c>
      <c r="L1290" s="141">
        <v>1</v>
      </c>
      <c r="M1290" s="141">
        <v>0</v>
      </c>
      <c r="N1290" s="141">
        <v>82000</v>
      </c>
      <c r="O1290" s="141" t="s">
        <v>4368</v>
      </c>
      <c r="P1290" s="141"/>
    </row>
    <row r="1291" spans="1:16" ht="25.5">
      <c r="A1291" s="141">
        <v>76807</v>
      </c>
      <c r="B1291" s="141" t="s">
        <v>4325</v>
      </c>
      <c r="C1291" s="142">
        <v>41201</v>
      </c>
      <c r="D1291" s="141">
        <v>756</v>
      </c>
      <c r="E1291" s="141" t="str">
        <f t="shared" si="113"/>
        <v>001</v>
      </c>
      <c r="F1291" s="141" t="s">
        <v>4326</v>
      </c>
      <c r="G1291" s="141" t="str">
        <f t="shared" si="112"/>
        <v>1173</v>
      </c>
      <c r="H1291" s="141" t="s">
        <v>996</v>
      </c>
      <c r="I1291" s="141" t="str">
        <f t="shared" si="114"/>
        <v>999</v>
      </c>
      <c r="J1291" s="141" t="s">
        <v>4327</v>
      </c>
      <c r="K1291" s="141">
        <v>2628</v>
      </c>
      <c r="L1291" s="141">
        <v>1</v>
      </c>
      <c r="M1291" s="141">
        <v>0</v>
      </c>
      <c r="N1291" s="141">
        <v>12000</v>
      </c>
      <c r="O1291" s="141" t="s">
        <v>4482</v>
      </c>
      <c r="P1291" s="141" t="s">
        <v>4736</v>
      </c>
    </row>
    <row r="1292" spans="1:16" ht="25.5">
      <c r="A1292" s="141">
        <v>76807</v>
      </c>
      <c r="B1292" s="141" t="s">
        <v>4325</v>
      </c>
      <c r="C1292" s="142">
        <v>41201</v>
      </c>
      <c r="D1292" s="141">
        <v>756</v>
      </c>
      <c r="E1292" s="141" t="str">
        <f t="shared" si="113"/>
        <v>001</v>
      </c>
      <c r="F1292" s="141" t="s">
        <v>4326</v>
      </c>
      <c r="G1292" s="141" t="str">
        <f t="shared" si="112"/>
        <v>1173</v>
      </c>
      <c r="H1292" s="141" t="s">
        <v>996</v>
      </c>
      <c r="I1292" s="141" t="str">
        <f t="shared" si="114"/>
        <v>999</v>
      </c>
      <c r="J1292" s="141" t="s">
        <v>4327</v>
      </c>
      <c r="K1292" s="141">
        <v>2629</v>
      </c>
      <c r="L1292" s="141">
        <v>1</v>
      </c>
      <c r="M1292" s="141">
        <v>0</v>
      </c>
      <c r="N1292" s="141">
        <v>2000</v>
      </c>
      <c r="O1292" s="141" t="s">
        <v>4535</v>
      </c>
      <c r="P1292" s="141"/>
    </row>
    <row r="1293" spans="1:16" ht="25.5">
      <c r="A1293" s="141">
        <v>76807</v>
      </c>
      <c r="B1293" s="141" t="s">
        <v>4325</v>
      </c>
      <c r="C1293" s="142">
        <v>41201</v>
      </c>
      <c r="D1293" s="141">
        <v>756</v>
      </c>
      <c r="E1293" s="141" t="str">
        <f t="shared" si="113"/>
        <v>001</v>
      </c>
      <c r="F1293" s="141" t="s">
        <v>4326</v>
      </c>
      <c r="G1293" s="141" t="str">
        <f t="shared" si="112"/>
        <v>1173</v>
      </c>
      <c r="H1293" s="141" t="s">
        <v>996</v>
      </c>
      <c r="I1293" s="141" t="str">
        <f t="shared" si="114"/>
        <v>999</v>
      </c>
      <c r="J1293" s="141" t="s">
        <v>4327</v>
      </c>
      <c r="K1293" s="141">
        <v>2630</v>
      </c>
      <c r="L1293" s="141">
        <v>1</v>
      </c>
      <c r="M1293" s="141">
        <v>0</v>
      </c>
      <c r="N1293" s="141">
        <v>3000</v>
      </c>
      <c r="O1293" s="141" t="s">
        <v>4535</v>
      </c>
      <c r="P1293" s="141"/>
    </row>
    <row r="1294" spans="1:16" ht="25.5">
      <c r="A1294" s="141">
        <v>76807</v>
      </c>
      <c r="B1294" s="141" t="s">
        <v>4325</v>
      </c>
      <c r="C1294" s="142">
        <v>41201</v>
      </c>
      <c r="D1294" s="141">
        <v>756</v>
      </c>
      <c r="E1294" s="141" t="str">
        <f t="shared" si="113"/>
        <v>001</v>
      </c>
      <c r="F1294" s="141" t="s">
        <v>4326</v>
      </c>
      <c r="G1294" s="141" t="str">
        <f t="shared" si="112"/>
        <v>1173</v>
      </c>
      <c r="H1294" s="141" t="s">
        <v>996</v>
      </c>
      <c r="I1294" s="141" t="str">
        <f t="shared" si="114"/>
        <v>999</v>
      </c>
      <c r="J1294" s="141" t="s">
        <v>4327</v>
      </c>
      <c r="K1294" s="141">
        <v>2631</v>
      </c>
      <c r="L1294" s="141">
        <v>3</v>
      </c>
      <c r="M1294" s="141">
        <v>0</v>
      </c>
      <c r="N1294" s="141">
        <v>3000</v>
      </c>
      <c r="O1294" s="141" t="s">
        <v>4536</v>
      </c>
      <c r="P1294" s="141"/>
    </row>
    <row r="1295" spans="1:16" ht="25.5">
      <c r="A1295" s="141">
        <v>76807</v>
      </c>
      <c r="B1295" s="141" t="s">
        <v>4325</v>
      </c>
      <c r="C1295" s="142">
        <v>41201</v>
      </c>
      <c r="D1295" s="141">
        <v>756</v>
      </c>
      <c r="E1295" s="141" t="str">
        <f t="shared" si="113"/>
        <v>001</v>
      </c>
      <c r="F1295" s="141" t="s">
        <v>4326</v>
      </c>
      <c r="G1295" s="141" t="str">
        <f t="shared" si="112"/>
        <v>1173</v>
      </c>
      <c r="H1295" s="141" t="s">
        <v>996</v>
      </c>
      <c r="I1295" s="141" t="str">
        <f t="shared" si="114"/>
        <v>999</v>
      </c>
      <c r="J1295" s="141" t="s">
        <v>4327</v>
      </c>
      <c r="K1295" s="141">
        <v>2632</v>
      </c>
      <c r="L1295" s="141">
        <v>13</v>
      </c>
      <c r="M1295" s="141">
        <v>0</v>
      </c>
      <c r="N1295" s="141">
        <v>7000</v>
      </c>
      <c r="O1295" s="141" t="s">
        <v>4350</v>
      </c>
      <c r="P1295" s="141"/>
    </row>
    <row r="1296" spans="1:16" ht="25.5">
      <c r="A1296" s="141">
        <v>76807</v>
      </c>
      <c r="B1296" s="141" t="s">
        <v>4325</v>
      </c>
      <c r="C1296" s="142">
        <v>41201</v>
      </c>
      <c r="D1296" s="141">
        <v>756</v>
      </c>
      <c r="E1296" s="141" t="str">
        <f t="shared" si="113"/>
        <v>001</v>
      </c>
      <c r="F1296" s="141" t="s">
        <v>4326</v>
      </c>
      <c r="G1296" s="141" t="str">
        <f t="shared" si="112"/>
        <v>1173</v>
      </c>
      <c r="H1296" s="141" t="s">
        <v>996</v>
      </c>
      <c r="I1296" s="141" t="str">
        <f t="shared" si="114"/>
        <v>999</v>
      </c>
      <c r="J1296" s="141" t="s">
        <v>4327</v>
      </c>
      <c r="K1296" s="141">
        <v>2633</v>
      </c>
      <c r="L1296" s="141">
        <v>20</v>
      </c>
      <c r="M1296" s="141">
        <v>0</v>
      </c>
      <c r="N1296" s="141">
        <v>14000</v>
      </c>
      <c r="O1296" s="141" t="s">
        <v>4343</v>
      </c>
      <c r="P1296" s="141"/>
    </row>
    <row r="1297" spans="1:16" ht="25.5">
      <c r="A1297" s="141">
        <v>76807</v>
      </c>
      <c r="B1297" s="141" t="s">
        <v>4325</v>
      </c>
      <c r="C1297" s="142">
        <v>41201</v>
      </c>
      <c r="D1297" s="141">
        <v>756</v>
      </c>
      <c r="E1297" s="141" t="str">
        <f t="shared" si="113"/>
        <v>001</v>
      </c>
      <c r="F1297" s="141" t="s">
        <v>4326</v>
      </c>
      <c r="G1297" s="141" t="str">
        <f t="shared" si="112"/>
        <v>1173</v>
      </c>
      <c r="H1297" s="141" t="s">
        <v>996</v>
      </c>
      <c r="I1297" s="141" t="str">
        <f t="shared" si="114"/>
        <v>999</v>
      </c>
      <c r="J1297" s="141" t="s">
        <v>4327</v>
      </c>
      <c r="K1297" s="141">
        <v>2634</v>
      </c>
      <c r="L1297" s="141">
        <v>8</v>
      </c>
      <c r="M1297" s="141">
        <v>0</v>
      </c>
      <c r="N1297" s="141">
        <v>23000</v>
      </c>
      <c r="O1297" s="141" t="s">
        <v>4526</v>
      </c>
      <c r="P1297" s="141"/>
    </row>
    <row r="1298" spans="1:16" ht="25.5">
      <c r="A1298" s="141">
        <v>76807</v>
      </c>
      <c r="B1298" s="141" t="s">
        <v>4325</v>
      </c>
      <c r="C1298" s="142">
        <v>41201</v>
      </c>
      <c r="D1298" s="141">
        <v>756</v>
      </c>
      <c r="E1298" s="141" t="str">
        <f t="shared" si="113"/>
        <v>001</v>
      </c>
      <c r="F1298" s="141" t="s">
        <v>4326</v>
      </c>
      <c r="G1298" s="141" t="str">
        <f t="shared" si="112"/>
        <v>1173</v>
      </c>
      <c r="H1298" s="141" t="s">
        <v>996</v>
      </c>
      <c r="I1298" s="141" t="str">
        <f t="shared" si="114"/>
        <v>999</v>
      </c>
      <c r="J1298" s="141" t="s">
        <v>4327</v>
      </c>
      <c r="K1298" s="141">
        <v>2635</v>
      </c>
      <c r="L1298" s="141">
        <v>3</v>
      </c>
      <c r="M1298" s="141">
        <v>0</v>
      </c>
      <c r="N1298" s="141">
        <v>2000</v>
      </c>
      <c r="O1298" s="141" t="s">
        <v>4403</v>
      </c>
      <c r="P1298" s="141"/>
    </row>
    <row r="1299" spans="1:16" ht="25.5">
      <c r="A1299" s="141">
        <v>76807</v>
      </c>
      <c r="B1299" s="141" t="s">
        <v>4325</v>
      </c>
      <c r="C1299" s="142">
        <v>41201</v>
      </c>
      <c r="D1299" s="141">
        <v>756</v>
      </c>
      <c r="E1299" s="141" t="str">
        <f t="shared" si="113"/>
        <v>001</v>
      </c>
      <c r="F1299" s="141" t="s">
        <v>4326</v>
      </c>
      <c r="G1299" s="141" t="str">
        <f t="shared" si="112"/>
        <v>1173</v>
      </c>
      <c r="H1299" s="141" t="s">
        <v>996</v>
      </c>
      <c r="I1299" s="141" t="str">
        <f t="shared" si="114"/>
        <v>999</v>
      </c>
      <c r="J1299" s="141" t="s">
        <v>4327</v>
      </c>
      <c r="K1299" s="141">
        <v>2636</v>
      </c>
      <c r="L1299" s="141">
        <v>1</v>
      </c>
      <c r="M1299" s="141">
        <v>0</v>
      </c>
      <c r="N1299" s="141">
        <v>2000</v>
      </c>
      <c r="O1299" s="141" t="s">
        <v>4345</v>
      </c>
      <c r="P1299" s="141"/>
    </row>
    <row r="1300" spans="1:16" ht="25.5">
      <c r="A1300" s="141">
        <v>76807</v>
      </c>
      <c r="B1300" s="141" t="s">
        <v>4325</v>
      </c>
      <c r="C1300" s="142">
        <v>41201</v>
      </c>
      <c r="D1300" s="141">
        <v>756</v>
      </c>
      <c r="E1300" s="141" t="str">
        <f t="shared" si="113"/>
        <v>001</v>
      </c>
      <c r="F1300" s="141" t="s">
        <v>4326</v>
      </c>
      <c r="G1300" s="141" t="str">
        <f t="shared" si="112"/>
        <v>1173</v>
      </c>
      <c r="H1300" s="141" t="s">
        <v>996</v>
      </c>
      <c r="I1300" s="141" t="str">
        <f t="shared" si="114"/>
        <v>999</v>
      </c>
      <c r="J1300" s="141" t="s">
        <v>4327</v>
      </c>
      <c r="K1300" s="141">
        <v>2637</v>
      </c>
      <c r="L1300" s="141">
        <v>2</v>
      </c>
      <c r="M1300" s="141">
        <v>0</v>
      </c>
      <c r="N1300" s="141">
        <v>6000</v>
      </c>
      <c r="O1300" s="141" t="s">
        <v>4404</v>
      </c>
      <c r="P1300" s="141"/>
    </row>
    <row r="1301" spans="1:16" ht="25.5">
      <c r="A1301" s="141">
        <v>76807</v>
      </c>
      <c r="B1301" s="141" t="s">
        <v>4325</v>
      </c>
      <c r="C1301" s="142">
        <v>41201</v>
      </c>
      <c r="D1301" s="141">
        <v>756</v>
      </c>
      <c r="E1301" s="141" t="str">
        <f t="shared" si="113"/>
        <v>001</v>
      </c>
      <c r="F1301" s="141" t="s">
        <v>4326</v>
      </c>
      <c r="G1301" s="141" t="str">
        <f t="shared" si="112"/>
        <v>1173</v>
      </c>
      <c r="H1301" s="141" t="s">
        <v>996</v>
      </c>
      <c r="I1301" s="141" t="str">
        <f t="shared" si="114"/>
        <v>999</v>
      </c>
      <c r="J1301" s="141" t="s">
        <v>4327</v>
      </c>
      <c r="K1301" s="141">
        <v>2638</v>
      </c>
      <c r="L1301" s="141">
        <v>1</v>
      </c>
      <c r="M1301" s="141">
        <v>0</v>
      </c>
      <c r="N1301" s="141">
        <v>3000</v>
      </c>
      <c r="O1301" s="141" t="s">
        <v>4405</v>
      </c>
      <c r="P1301" s="141" t="s">
        <v>4372</v>
      </c>
    </row>
    <row r="1302" spans="1:16" ht="25.5">
      <c r="A1302" s="141">
        <v>76807</v>
      </c>
      <c r="B1302" s="141" t="s">
        <v>4325</v>
      </c>
      <c r="C1302" s="142">
        <v>41201</v>
      </c>
      <c r="D1302" s="141">
        <v>756</v>
      </c>
      <c r="E1302" s="141" t="str">
        <f t="shared" si="113"/>
        <v>001</v>
      </c>
      <c r="F1302" s="141" t="s">
        <v>4326</v>
      </c>
      <c r="G1302" s="141" t="str">
        <f t="shared" si="112"/>
        <v>1173</v>
      </c>
      <c r="H1302" s="141" t="s">
        <v>996</v>
      </c>
      <c r="I1302" s="141" t="str">
        <f t="shared" si="114"/>
        <v>999</v>
      </c>
      <c r="J1302" s="141" t="s">
        <v>4327</v>
      </c>
      <c r="K1302" s="141">
        <v>2639</v>
      </c>
      <c r="L1302" s="141">
        <v>1</v>
      </c>
      <c r="M1302" s="141">
        <v>0</v>
      </c>
      <c r="N1302" s="141">
        <v>3000</v>
      </c>
      <c r="O1302" s="141" t="s">
        <v>4405</v>
      </c>
      <c r="P1302" s="141" t="s">
        <v>4372</v>
      </c>
    </row>
    <row r="1303" spans="1:16" ht="25.5">
      <c r="A1303" s="141">
        <v>76807</v>
      </c>
      <c r="B1303" s="141" t="s">
        <v>4325</v>
      </c>
      <c r="C1303" s="142">
        <v>41201</v>
      </c>
      <c r="D1303" s="141">
        <v>756</v>
      </c>
      <c r="E1303" s="141" t="str">
        <f t="shared" si="113"/>
        <v>001</v>
      </c>
      <c r="F1303" s="141" t="s">
        <v>4326</v>
      </c>
      <c r="G1303" s="141" t="str">
        <f t="shared" si="112"/>
        <v>1173</v>
      </c>
      <c r="H1303" s="141" t="s">
        <v>996</v>
      </c>
      <c r="I1303" s="141" t="str">
        <f t="shared" si="114"/>
        <v>999</v>
      </c>
      <c r="J1303" s="141" t="s">
        <v>4327</v>
      </c>
      <c r="K1303" s="141">
        <v>2640</v>
      </c>
      <c r="L1303" s="141">
        <v>1</v>
      </c>
      <c r="M1303" s="141">
        <v>0</v>
      </c>
      <c r="N1303" s="141">
        <v>3000</v>
      </c>
      <c r="O1303" s="141" t="s">
        <v>4405</v>
      </c>
      <c r="P1303" s="141" t="s">
        <v>4372</v>
      </c>
    </row>
    <row r="1304" spans="1:16" ht="25.5">
      <c r="A1304" s="141">
        <v>76807</v>
      </c>
      <c r="B1304" s="141" t="s">
        <v>4325</v>
      </c>
      <c r="C1304" s="142">
        <v>41201</v>
      </c>
      <c r="D1304" s="141">
        <v>756</v>
      </c>
      <c r="E1304" s="141" t="str">
        <f t="shared" si="113"/>
        <v>001</v>
      </c>
      <c r="F1304" s="141" t="s">
        <v>4326</v>
      </c>
      <c r="G1304" s="141" t="str">
        <f t="shared" si="112"/>
        <v>1173</v>
      </c>
      <c r="H1304" s="141" t="s">
        <v>996</v>
      </c>
      <c r="I1304" s="141" t="str">
        <f t="shared" si="114"/>
        <v>999</v>
      </c>
      <c r="J1304" s="141" t="s">
        <v>4327</v>
      </c>
      <c r="K1304" s="141">
        <v>2641</v>
      </c>
      <c r="L1304" s="141">
        <v>1</v>
      </c>
      <c r="M1304" s="141">
        <v>0</v>
      </c>
      <c r="N1304" s="141">
        <v>3000</v>
      </c>
      <c r="O1304" s="141" t="s">
        <v>4405</v>
      </c>
      <c r="P1304" s="141" t="s">
        <v>4372</v>
      </c>
    </row>
    <row r="1305" spans="1:16" ht="25.5">
      <c r="A1305" s="141">
        <v>76807</v>
      </c>
      <c r="B1305" s="141" t="s">
        <v>4325</v>
      </c>
      <c r="C1305" s="142">
        <v>41201</v>
      </c>
      <c r="D1305" s="141">
        <v>756</v>
      </c>
      <c r="E1305" s="141" t="str">
        <f t="shared" si="113"/>
        <v>001</v>
      </c>
      <c r="F1305" s="141" t="s">
        <v>4326</v>
      </c>
      <c r="G1305" s="141" t="str">
        <f t="shared" si="112"/>
        <v>1173</v>
      </c>
      <c r="H1305" s="141" t="s">
        <v>996</v>
      </c>
      <c r="I1305" s="141" t="str">
        <f t="shared" si="114"/>
        <v>999</v>
      </c>
      <c r="J1305" s="141" t="s">
        <v>4327</v>
      </c>
      <c r="K1305" s="141">
        <v>2642</v>
      </c>
      <c r="L1305" s="141">
        <v>1</v>
      </c>
      <c r="M1305" s="141">
        <v>0</v>
      </c>
      <c r="N1305" s="141">
        <v>3000</v>
      </c>
      <c r="O1305" s="141" t="s">
        <v>4405</v>
      </c>
      <c r="P1305" s="141" t="s">
        <v>4372</v>
      </c>
    </row>
    <row r="1306" spans="1:16" ht="25.5">
      <c r="A1306" s="141">
        <v>76807</v>
      </c>
      <c r="B1306" s="141" t="s">
        <v>4325</v>
      </c>
      <c r="C1306" s="142">
        <v>41201</v>
      </c>
      <c r="D1306" s="141">
        <v>756</v>
      </c>
      <c r="E1306" s="141" t="str">
        <f t="shared" si="113"/>
        <v>001</v>
      </c>
      <c r="F1306" s="141" t="s">
        <v>4326</v>
      </c>
      <c r="G1306" s="141" t="str">
        <f t="shared" si="112"/>
        <v>1173</v>
      </c>
      <c r="H1306" s="141" t="s">
        <v>996</v>
      </c>
      <c r="I1306" s="141" t="str">
        <f t="shared" si="114"/>
        <v>999</v>
      </c>
      <c r="J1306" s="141" t="s">
        <v>4327</v>
      </c>
      <c r="K1306" s="141">
        <v>2643</v>
      </c>
      <c r="L1306" s="141">
        <v>1</v>
      </c>
      <c r="M1306" s="141">
        <v>0</v>
      </c>
      <c r="N1306" s="141">
        <v>2000</v>
      </c>
      <c r="O1306" s="141" t="s">
        <v>4405</v>
      </c>
      <c r="P1306" s="141" t="s">
        <v>4737</v>
      </c>
    </row>
    <row r="1307" spans="1:16" ht="25.5">
      <c r="A1307" s="141">
        <v>76807</v>
      </c>
      <c r="B1307" s="141" t="s">
        <v>4325</v>
      </c>
      <c r="C1307" s="142">
        <v>41201</v>
      </c>
      <c r="D1307" s="141">
        <v>756</v>
      </c>
      <c r="E1307" s="141" t="str">
        <f t="shared" si="113"/>
        <v>001</v>
      </c>
      <c r="F1307" s="141" t="s">
        <v>4326</v>
      </c>
      <c r="G1307" s="141" t="str">
        <f t="shared" si="112"/>
        <v>1173</v>
      </c>
      <c r="H1307" s="141" t="s">
        <v>996</v>
      </c>
      <c r="I1307" s="141" t="str">
        <f t="shared" si="114"/>
        <v>999</v>
      </c>
      <c r="J1307" s="141" t="s">
        <v>4327</v>
      </c>
      <c r="K1307" s="141">
        <v>2644</v>
      </c>
      <c r="L1307" s="141">
        <v>1</v>
      </c>
      <c r="M1307" s="141">
        <v>0</v>
      </c>
      <c r="N1307" s="141">
        <v>2000</v>
      </c>
      <c r="O1307" s="141" t="s">
        <v>4405</v>
      </c>
      <c r="P1307" s="141" t="s">
        <v>4737</v>
      </c>
    </row>
    <row r="1308" spans="1:16" ht="25.5">
      <c r="A1308" s="141">
        <v>76807</v>
      </c>
      <c r="B1308" s="141" t="s">
        <v>4325</v>
      </c>
      <c r="C1308" s="142">
        <v>41201</v>
      </c>
      <c r="D1308" s="141">
        <v>756</v>
      </c>
      <c r="E1308" s="141" t="str">
        <f t="shared" si="113"/>
        <v>001</v>
      </c>
      <c r="F1308" s="141" t="s">
        <v>4326</v>
      </c>
      <c r="G1308" s="141" t="str">
        <f t="shared" si="112"/>
        <v>1173</v>
      </c>
      <c r="H1308" s="141" t="s">
        <v>996</v>
      </c>
      <c r="I1308" s="141" t="str">
        <f t="shared" si="114"/>
        <v>999</v>
      </c>
      <c r="J1308" s="141" t="s">
        <v>4327</v>
      </c>
      <c r="K1308" s="141">
        <v>2645</v>
      </c>
      <c r="L1308" s="141">
        <v>1</v>
      </c>
      <c r="M1308" s="141">
        <v>0</v>
      </c>
      <c r="N1308" s="141">
        <v>2000</v>
      </c>
      <c r="O1308" s="141" t="s">
        <v>4405</v>
      </c>
      <c r="P1308" s="141" t="s">
        <v>4737</v>
      </c>
    </row>
    <row r="1309" spans="1:16" ht="25.5">
      <c r="A1309" s="141">
        <v>76807</v>
      </c>
      <c r="B1309" s="141" t="s">
        <v>4325</v>
      </c>
      <c r="C1309" s="142">
        <v>41201</v>
      </c>
      <c r="D1309" s="141">
        <v>756</v>
      </c>
      <c r="E1309" s="141" t="str">
        <f t="shared" si="113"/>
        <v>001</v>
      </c>
      <c r="F1309" s="141" t="s">
        <v>4326</v>
      </c>
      <c r="G1309" s="141" t="str">
        <f t="shared" si="112"/>
        <v>1173</v>
      </c>
      <c r="H1309" s="141" t="s">
        <v>996</v>
      </c>
      <c r="I1309" s="141" t="str">
        <f t="shared" si="114"/>
        <v>999</v>
      </c>
      <c r="J1309" s="141" t="s">
        <v>4327</v>
      </c>
      <c r="K1309" s="141">
        <v>2646</v>
      </c>
      <c r="L1309" s="141">
        <v>1</v>
      </c>
      <c r="M1309" s="141">
        <v>0</v>
      </c>
      <c r="N1309" s="141">
        <v>2000</v>
      </c>
      <c r="O1309" s="141" t="s">
        <v>4405</v>
      </c>
      <c r="P1309" s="141" t="s">
        <v>4737</v>
      </c>
    </row>
    <row r="1310" spans="1:16" ht="25.5">
      <c r="A1310" s="141">
        <v>76807</v>
      </c>
      <c r="B1310" s="141" t="s">
        <v>4325</v>
      </c>
      <c r="C1310" s="142">
        <v>41201</v>
      </c>
      <c r="D1310" s="141">
        <v>756</v>
      </c>
      <c r="E1310" s="141" t="str">
        <f t="shared" si="113"/>
        <v>001</v>
      </c>
      <c r="F1310" s="141" t="s">
        <v>4326</v>
      </c>
      <c r="G1310" s="141" t="str">
        <f t="shared" si="112"/>
        <v>1173</v>
      </c>
      <c r="H1310" s="141" t="s">
        <v>996</v>
      </c>
      <c r="I1310" s="141" t="str">
        <f t="shared" si="114"/>
        <v>999</v>
      </c>
      <c r="J1310" s="141" t="s">
        <v>4327</v>
      </c>
      <c r="K1310" s="141">
        <v>2647</v>
      </c>
      <c r="L1310" s="141">
        <v>1</v>
      </c>
      <c r="M1310" s="141">
        <v>0</v>
      </c>
      <c r="N1310" s="141">
        <v>2000</v>
      </c>
      <c r="O1310" s="141" t="s">
        <v>4405</v>
      </c>
      <c r="P1310" s="141" t="s">
        <v>4737</v>
      </c>
    </row>
    <row r="1311" spans="1:16" ht="25.5">
      <c r="A1311" s="141">
        <v>76807</v>
      </c>
      <c r="B1311" s="141" t="s">
        <v>4325</v>
      </c>
      <c r="C1311" s="142">
        <v>41201</v>
      </c>
      <c r="D1311" s="141">
        <v>756</v>
      </c>
      <c r="E1311" s="141" t="str">
        <f t="shared" si="113"/>
        <v>001</v>
      </c>
      <c r="F1311" s="141" t="s">
        <v>4326</v>
      </c>
      <c r="G1311" s="141" t="str">
        <f t="shared" si="112"/>
        <v>1173</v>
      </c>
      <c r="H1311" s="141" t="s">
        <v>996</v>
      </c>
      <c r="I1311" s="141" t="str">
        <f t="shared" si="114"/>
        <v>999</v>
      </c>
      <c r="J1311" s="141" t="s">
        <v>4327</v>
      </c>
      <c r="K1311" s="141">
        <v>2648</v>
      </c>
      <c r="L1311" s="141">
        <v>1</v>
      </c>
      <c r="M1311" s="141">
        <v>0</v>
      </c>
      <c r="N1311" s="141">
        <v>2000</v>
      </c>
      <c r="O1311" s="141" t="s">
        <v>4405</v>
      </c>
      <c r="P1311" s="141" t="s">
        <v>4737</v>
      </c>
    </row>
    <row r="1312" spans="1:16" ht="25.5">
      <c r="A1312" s="141">
        <v>76807</v>
      </c>
      <c r="B1312" s="141" t="s">
        <v>4325</v>
      </c>
      <c r="C1312" s="142">
        <v>41201</v>
      </c>
      <c r="D1312" s="141">
        <v>756</v>
      </c>
      <c r="E1312" s="141" t="str">
        <f t="shared" si="113"/>
        <v>001</v>
      </c>
      <c r="F1312" s="141" t="s">
        <v>4326</v>
      </c>
      <c r="G1312" s="141" t="str">
        <f t="shared" si="112"/>
        <v>1173</v>
      </c>
      <c r="H1312" s="141" t="s">
        <v>996</v>
      </c>
      <c r="I1312" s="141" t="str">
        <f t="shared" si="114"/>
        <v>999</v>
      </c>
      <c r="J1312" s="141" t="s">
        <v>4327</v>
      </c>
      <c r="K1312" s="141">
        <v>2649</v>
      </c>
      <c r="L1312" s="141">
        <v>1</v>
      </c>
      <c r="M1312" s="141">
        <v>0</v>
      </c>
      <c r="N1312" s="141">
        <v>2000</v>
      </c>
      <c r="O1312" s="141" t="s">
        <v>4405</v>
      </c>
      <c r="P1312" s="141" t="s">
        <v>4737</v>
      </c>
    </row>
    <row r="1313" spans="1:16" ht="25.5">
      <c r="A1313" s="141">
        <v>76807</v>
      </c>
      <c r="B1313" s="141" t="s">
        <v>4325</v>
      </c>
      <c r="C1313" s="142">
        <v>41201</v>
      </c>
      <c r="D1313" s="141">
        <v>756</v>
      </c>
      <c r="E1313" s="141" t="str">
        <f t="shared" si="113"/>
        <v>001</v>
      </c>
      <c r="F1313" s="141" t="s">
        <v>4326</v>
      </c>
      <c r="G1313" s="141" t="str">
        <f t="shared" si="112"/>
        <v>1173</v>
      </c>
      <c r="H1313" s="141" t="s">
        <v>996</v>
      </c>
      <c r="I1313" s="141" t="str">
        <f t="shared" si="114"/>
        <v>999</v>
      </c>
      <c r="J1313" s="141" t="s">
        <v>4327</v>
      </c>
      <c r="K1313" s="141">
        <v>2650</v>
      </c>
      <c r="L1313" s="141">
        <v>6</v>
      </c>
      <c r="M1313" s="141">
        <v>0</v>
      </c>
      <c r="N1313" s="141">
        <v>11000</v>
      </c>
      <c r="O1313" s="141" t="s">
        <v>4685</v>
      </c>
      <c r="P1313" s="141"/>
    </row>
    <row r="1314" spans="1:16" ht="25.5">
      <c r="A1314" s="141">
        <v>76807</v>
      </c>
      <c r="B1314" s="141" t="s">
        <v>4325</v>
      </c>
      <c r="C1314" s="142">
        <v>41201</v>
      </c>
      <c r="D1314" s="141">
        <v>756</v>
      </c>
      <c r="E1314" s="141" t="str">
        <f t="shared" si="113"/>
        <v>001</v>
      </c>
      <c r="F1314" s="141" t="s">
        <v>4326</v>
      </c>
      <c r="G1314" s="141" t="str">
        <f t="shared" si="112"/>
        <v>1173</v>
      </c>
      <c r="H1314" s="141" t="s">
        <v>996</v>
      </c>
      <c r="I1314" s="141" t="str">
        <f t="shared" si="114"/>
        <v>999</v>
      </c>
      <c r="J1314" s="141" t="s">
        <v>4327</v>
      </c>
      <c r="K1314" s="141">
        <v>2651</v>
      </c>
      <c r="L1314" s="141">
        <v>2</v>
      </c>
      <c r="M1314" s="141">
        <v>0</v>
      </c>
      <c r="N1314" s="141">
        <v>3000</v>
      </c>
      <c r="O1314" s="141" t="s">
        <v>4738</v>
      </c>
      <c r="P1314" s="141"/>
    </row>
    <row r="1315" spans="1:16" ht="25.5">
      <c r="A1315" s="141">
        <v>76807</v>
      </c>
      <c r="B1315" s="141" t="s">
        <v>4325</v>
      </c>
      <c r="C1315" s="142">
        <v>41201</v>
      </c>
      <c r="D1315" s="141">
        <v>756</v>
      </c>
      <c r="E1315" s="141" t="str">
        <f t="shared" si="113"/>
        <v>001</v>
      </c>
      <c r="F1315" s="141" t="s">
        <v>4326</v>
      </c>
      <c r="G1315" s="141" t="str">
        <f t="shared" si="112"/>
        <v>1173</v>
      </c>
      <c r="H1315" s="141" t="s">
        <v>996</v>
      </c>
      <c r="I1315" s="141" t="str">
        <f t="shared" si="114"/>
        <v>999</v>
      </c>
      <c r="J1315" s="141" t="s">
        <v>4327</v>
      </c>
      <c r="K1315" s="141">
        <v>2652</v>
      </c>
      <c r="L1315" s="141">
        <v>4</v>
      </c>
      <c r="M1315" s="141">
        <v>0</v>
      </c>
      <c r="N1315" s="141">
        <v>10000</v>
      </c>
      <c r="O1315" s="141" t="s">
        <v>4347</v>
      </c>
      <c r="P1315" s="141"/>
    </row>
    <row r="1316" spans="1:16" ht="25.5">
      <c r="A1316" s="141">
        <v>76807</v>
      </c>
      <c r="B1316" s="141" t="s">
        <v>4325</v>
      </c>
      <c r="C1316" s="142">
        <v>41201</v>
      </c>
      <c r="D1316" s="141">
        <v>753</v>
      </c>
      <c r="E1316" s="141" t="str">
        <f t="shared" si="113"/>
        <v>001</v>
      </c>
      <c r="F1316" s="141" t="s">
        <v>4326</v>
      </c>
      <c r="G1316" s="141" t="str">
        <f t="shared" ref="G1316:G1321" si="115">"1202"</f>
        <v>1202</v>
      </c>
      <c r="H1316" s="141" t="s">
        <v>2584</v>
      </c>
      <c r="I1316" s="141" t="str">
        <f t="shared" si="114"/>
        <v>999</v>
      </c>
      <c r="J1316" s="141" t="s">
        <v>4327</v>
      </c>
      <c r="K1316" s="141">
        <v>2538</v>
      </c>
      <c r="L1316" s="141">
        <v>1</v>
      </c>
      <c r="M1316" s="141">
        <v>0</v>
      </c>
      <c r="N1316" s="141">
        <v>6000</v>
      </c>
      <c r="O1316" s="141" t="s">
        <v>4397</v>
      </c>
      <c r="P1316" s="141" t="s">
        <v>4654</v>
      </c>
    </row>
    <row r="1317" spans="1:16" ht="25.5">
      <c r="A1317" s="141">
        <v>76807</v>
      </c>
      <c r="B1317" s="141" t="s">
        <v>4325</v>
      </c>
      <c r="C1317" s="142">
        <v>41201</v>
      </c>
      <c r="D1317" s="141">
        <v>753</v>
      </c>
      <c r="E1317" s="141" t="str">
        <f t="shared" si="113"/>
        <v>001</v>
      </c>
      <c r="F1317" s="141" t="s">
        <v>4326</v>
      </c>
      <c r="G1317" s="141" t="str">
        <f t="shared" si="115"/>
        <v>1202</v>
      </c>
      <c r="H1317" s="141" t="s">
        <v>2584</v>
      </c>
      <c r="I1317" s="141" t="str">
        <f t="shared" si="114"/>
        <v>999</v>
      </c>
      <c r="J1317" s="141" t="s">
        <v>4327</v>
      </c>
      <c r="K1317" s="141">
        <v>2539</v>
      </c>
      <c r="L1317" s="141">
        <v>1</v>
      </c>
      <c r="M1317" s="141">
        <v>0</v>
      </c>
      <c r="N1317" s="141">
        <v>3000</v>
      </c>
      <c r="O1317" s="141" t="s">
        <v>4397</v>
      </c>
      <c r="P1317" s="141" t="s">
        <v>4739</v>
      </c>
    </row>
    <row r="1318" spans="1:16" ht="25.5">
      <c r="A1318" s="141">
        <v>76807</v>
      </c>
      <c r="B1318" s="141" t="s">
        <v>4325</v>
      </c>
      <c r="C1318" s="142">
        <v>41201</v>
      </c>
      <c r="D1318" s="141">
        <v>753</v>
      </c>
      <c r="E1318" s="141" t="str">
        <f t="shared" si="113"/>
        <v>001</v>
      </c>
      <c r="F1318" s="141" t="s">
        <v>4326</v>
      </c>
      <c r="G1318" s="141" t="str">
        <f t="shared" si="115"/>
        <v>1202</v>
      </c>
      <c r="H1318" s="141" t="s">
        <v>2584</v>
      </c>
      <c r="I1318" s="141" t="str">
        <f t="shared" si="114"/>
        <v>999</v>
      </c>
      <c r="J1318" s="141" t="s">
        <v>4327</v>
      </c>
      <c r="K1318" s="141">
        <v>2540</v>
      </c>
      <c r="L1318" s="141">
        <v>1</v>
      </c>
      <c r="M1318" s="141">
        <v>0</v>
      </c>
      <c r="N1318" s="141">
        <v>2000</v>
      </c>
      <c r="O1318" s="141" t="s">
        <v>4397</v>
      </c>
      <c r="P1318" s="141" t="s">
        <v>4740</v>
      </c>
    </row>
    <row r="1319" spans="1:16" ht="25.5">
      <c r="A1319" s="141">
        <v>76807</v>
      </c>
      <c r="B1319" s="141" t="s">
        <v>4325</v>
      </c>
      <c r="C1319" s="142">
        <v>41201</v>
      </c>
      <c r="D1319" s="141">
        <v>753</v>
      </c>
      <c r="E1319" s="141" t="str">
        <f t="shared" si="113"/>
        <v>001</v>
      </c>
      <c r="F1319" s="141" t="s">
        <v>4326</v>
      </c>
      <c r="G1319" s="141" t="str">
        <f t="shared" si="115"/>
        <v>1202</v>
      </c>
      <c r="H1319" s="141" t="s">
        <v>2584</v>
      </c>
      <c r="I1319" s="141" t="str">
        <f t="shared" si="114"/>
        <v>999</v>
      </c>
      <c r="J1319" s="141" t="s">
        <v>4327</v>
      </c>
      <c r="K1319" s="141">
        <v>2541</v>
      </c>
      <c r="L1319" s="141">
        <v>1</v>
      </c>
      <c r="M1319" s="141">
        <v>0</v>
      </c>
      <c r="N1319" s="141">
        <v>2000</v>
      </c>
      <c r="O1319" s="141" t="s">
        <v>4397</v>
      </c>
      <c r="P1319" s="141" t="s">
        <v>4741</v>
      </c>
    </row>
    <row r="1320" spans="1:16" ht="25.5">
      <c r="A1320" s="141">
        <v>76807</v>
      </c>
      <c r="B1320" s="141" t="s">
        <v>4325</v>
      </c>
      <c r="C1320" s="142">
        <v>41201</v>
      </c>
      <c r="D1320" s="141">
        <v>753</v>
      </c>
      <c r="E1320" s="141" t="str">
        <f t="shared" si="113"/>
        <v>001</v>
      </c>
      <c r="F1320" s="141" t="s">
        <v>4326</v>
      </c>
      <c r="G1320" s="141" t="str">
        <f t="shared" si="115"/>
        <v>1202</v>
      </c>
      <c r="H1320" s="141" t="s">
        <v>2584</v>
      </c>
      <c r="I1320" s="141" t="str">
        <f t="shared" si="114"/>
        <v>999</v>
      </c>
      <c r="J1320" s="141" t="s">
        <v>4327</v>
      </c>
      <c r="K1320" s="141">
        <v>2542</v>
      </c>
      <c r="L1320" s="141">
        <v>1</v>
      </c>
      <c r="M1320" s="141">
        <v>0</v>
      </c>
      <c r="N1320" s="141">
        <v>3000</v>
      </c>
      <c r="O1320" s="141" t="s">
        <v>4330</v>
      </c>
      <c r="P1320" s="141" t="s">
        <v>4331</v>
      </c>
    </row>
    <row r="1321" spans="1:16" ht="25.5">
      <c r="A1321" s="141">
        <v>76807</v>
      </c>
      <c r="B1321" s="141" t="s">
        <v>4325</v>
      </c>
      <c r="C1321" s="142">
        <v>41201</v>
      </c>
      <c r="D1321" s="141">
        <v>753</v>
      </c>
      <c r="E1321" s="141" t="str">
        <f t="shared" si="113"/>
        <v>001</v>
      </c>
      <c r="F1321" s="141" t="s">
        <v>4326</v>
      </c>
      <c r="G1321" s="141" t="str">
        <f t="shared" si="115"/>
        <v>1202</v>
      </c>
      <c r="H1321" s="141" t="s">
        <v>2584</v>
      </c>
      <c r="I1321" s="141" t="str">
        <f t="shared" si="114"/>
        <v>999</v>
      </c>
      <c r="J1321" s="141" t="s">
        <v>4327</v>
      </c>
      <c r="K1321" s="141">
        <v>2543</v>
      </c>
      <c r="L1321" s="141">
        <v>1</v>
      </c>
      <c r="M1321" s="141">
        <v>0</v>
      </c>
      <c r="N1321" s="141">
        <v>56000</v>
      </c>
      <c r="O1321" s="141" t="s">
        <v>4332</v>
      </c>
      <c r="P1321" s="141" t="s">
        <v>4742</v>
      </c>
    </row>
    <row r="1322" spans="1:16" ht="25.5">
      <c r="A1322" s="141">
        <v>76807</v>
      </c>
      <c r="B1322" s="141" t="s">
        <v>4325</v>
      </c>
      <c r="C1322" s="142">
        <v>41201</v>
      </c>
      <c r="D1322" s="141">
        <v>433</v>
      </c>
      <c r="E1322" s="141" t="str">
        <f t="shared" si="113"/>
        <v>001</v>
      </c>
      <c r="F1322" s="141" t="s">
        <v>4326</v>
      </c>
      <c r="G1322" s="141" t="str">
        <f>"1209"</f>
        <v>1209</v>
      </c>
      <c r="H1322" s="141" t="s">
        <v>742</v>
      </c>
      <c r="I1322" s="141" t="str">
        <f t="shared" si="114"/>
        <v>999</v>
      </c>
      <c r="J1322" s="141" t="s">
        <v>4327</v>
      </c>
      <c r="K1322" s="141">
        <v>1259</v>
      </c>
      <c r="L1322" s="141">
        <v>4</v>
      </c>
      <c r="M1322" s="141">
        <v>0</v>
      </c>
      <c r="N1322" s="141">
        <v>2000</v>
      </c>
      <c r="O1322" s="141" t="s">
        <v>4350</v>
      </c>
      <c r="P1322" s="141"/>
    </row>
    <row r="1323" spans="1:16" ht="25.5">
      <c r="A1323" s="141">
        <v>76807</v>
      </c>
      <c r="B1323" s="141" t="s">
        <v>4325</v>
      </c>
      <c r="C1323" s="142">
        <v>41201</v>
      </c>
      <c r="D1323" s="141">
        <v>433</v>
      </c>
      <c r="E1323" s="141" t="str">
        <f t="shared" si="113"/>
        <v>001</v>
      </c>
      <c r="F1323" s="141" t="s">
        <v>4326</v>
      </c>
      <c r="G1323" s="141" t="str">
        <f>"1209"</f>
        <v>1209</v>
      </c>
      <c r="H1323" s="141" t="s">
        <v>742</v>
      </c>
      <c r="I1323" s="141" t="str">
        <f t="shared" si="114"/>
        <v>999</v>
      </c>
      <c r="J1323" s="141" t="s">
        <v>4327</v>
      </c>
      <c r="K1323" s="141">
        <v>1260</v>
      </c>
      <c r="L1323" s="141">
        <v>3</v>
      </c>
      <c r="M1323" s="141">
        <v>0</v>
      </c>
      <c r="N1323" s="141">
        <v>2000</v>
      </c>
      <c r="O1323" s="141" t="s">
        <v>4343</v>
      </c>
      <c r="P1323" s="141"/>
    </row>
    <row r="1324" spans="1:16" ht="25.5">
      <c r="A1324" s="141">
        <v>76807</v>
      </c>
      <c r="B1324" s="141" t="s">
        <v>4325</v>
      </c>
      <c r="C1324" s="142">
        <v>41201</v>
      </c>
      <c r="D1324" s="141">
        <v>433</v>
      </c>
      <c r="E1324" s="141" t="str">
        <f t="shared" si="113"/>
        <v>001</v>
      </c>
      <c r="F1324" s="141" t="s">
        <v>4326</v>
      </c>
      <c r="G1324" s="141" t="str">
        <f>"1209"</f>
        <v>1209</v>
      </c>
      <c r="H1324" s="141" t="s">
        <v>742</v>
      </c>
      <c r="I1324" s="141" t="str">
        <f t="shared" si="114"/>
        <v>999</v>
      </c>
      <c r="J1324" s="141" t="s">
        <v>4327</v>
      </c>
      <c r="K1324" s="141">
        <v>1261</v>
      </c>
      <c r="L1324" s="141">
        <v>1</v>
      </c>
      <c r="M1324" s="141">
        <v>0</v>
      </c>
      <c r="N1324" s="141">
        <v>24000</v>
      </c>
      <c r="O1324" s="141" t="s">
        <v>4337</v>
      </c>
      <c r="P1324" s="141" t="s">
        <v>4743</v>
      </c>
    </row>
    <row r="1325" spans="1:16" ht="25.5">
      <c r="A1325" s="141">
        <v>76807</v>
      </c>
      <c r="B1325" s="141" t="s">
        <v>4325</v>
      </c>
      <c r="C1325" s="142">
        <v>41201</v>
      </c>
      <c r="D1325" s="141">
        <v>433</v>
      </c>
      <c r="E1325" s="141" t="str">
        <f t="shared" si="113"/>
        <v>001</v>
      </c>
      <c r="F1325" s="141" t="s">
        <v>4326</v>
      </c>
      <c r="G1325" s="141" t="str">
        <f>"1209"</f>
        <v>1209</v>
      </c>
      <c r="H1325" s="141" t="s">
        <v>742</v>
      </c>
      <c r="I1325" s="141" t="str">
        <f t="shared" si="114"/>
        <v>999</v>
      </c>
      <c r="J1325" s="141" t="s">
        <v>4327</v>
      </c>
      <c r="K1325" s="141">
        <v>1262</v>
      </c>
      <c r="L1325" s="141">
        <v>4</v>
      </c>
      <c r="M1325" s="141">
        <v>0</v>
      </c>
      <c r="N1325" s="141">
        <v>20000</v>
      </c>
      <c r="O1325" s="141" t="s">
        <v>4357</v>
      </c>
      <c r="P1325" s="141" t="s">
        <v>4335</v>
      </c>
    </row>
    <row r="1326" spans="1:16" ht="25.5">
      <c r="A1326" s="141">
        <v>76807</v>
      </c>
      <c r="B1326" s="141" t="s">
        <v>4325</v>
      </c>
      <c r="C1326" s="142">
        <v>41201</v>
      </c>
      <c r="D1326" s="141">
        <v>433</v>
      </c>
      <c r="E1326" s="141" t="str">
        <f t="shared" si="113"/>
        <v>001</v>
      </c>
      <c r="F1326" s="141" t="s">
        <v>4326</v>
      </c>
      <c r="G1326" s="141" t="str">
        <f>"1209"</f>
        <v>1209</v>
      </c>
      <c r="H1326" s="141" t="s">
        <v>742</v>
      </c>
      <c r="I1326" s="141" t="str">
        <f t="shared" si="114"/>
        <v>999</v>
      </c>
      <c r="J1326" s="141" t="s">
        <v>4327</v>
      </c>
      <c r="K1326" s="141">
        <v>1263</v>
      </c>
      <c r="L1326" s="141">
        <v>12</v>
      </c>
      <c r="M1326" s="141">
        <v>0</v>
      </c>
      <c r="N1326" s="141">
        <v>26000</v>
      </c>
      <c r="O1326" s="141" t="s">
        <v>4408</v>
      </c>
      <c r="P1326" s="141"/>
    </row>
    <row r="1327" spans="1:16" ht="25.5">
      <c r="A1327" s="141">
        <v>76807</v>
      </c>
      <c r="B1327" s="141" t="s">
        <v>4325</v>
      </c>
      <c r="C1327" s="142">
        <v>41201</v>
      </c>
      <c r="D1327" s="141">
        <v>393</v>
      </c>
      <c r="E1327" s="141" t="str">
        <f t="shared" si="113"/>
        <v>001</v>
      </c>
      <c r="F1327" s="141" t="s">
        <v>4326</v>
      </c>
      <c r="G1327" s="141" t="str">
        <f>"1285"</f>
        <v>1285</v>
      </c>
      <c r="H1327" s="141" t="s">
        <v>755</v>
      </c>
      <c r="I1327" s="141" t="str">
        <f t="shared" si="114"/>
        <v>999</v>
      </c>
      <c r="J1327" s="141" t="s">
        <v>4327</v>
      </c>
      <c r="K1327" s="141">
        <v>1035</v>
      </c>
      <c r="L1327" s="141">
        <v>1</v>
      </c>
      <c r="M1327" s="141">
        <v>0</v>
      </c>
      <c r="N1327" s="141">
        <v>11000</v>
      </c>
      <c r="O1327" s="141" t="s">
        <v>4351</v>
      </c>
      <c r="P1327" s="141" t="s">
        <v>4590</v>
      </c>
    </row>
    <row r="1328" spans="1:16" ht="25.5">
      <c r="A1328" s="141">
        <v>76807</v>
      </c>
      <c r="B1328" s="141" t="s">
        <v>4325</v>
      </c>
      <c r="C1328" s="142">
        <v>41201</v>
      </c>
      <c r="D1328" s="141">
        <v>393</v>
      </c>
      <c r="E1328" s="141" t="str">
        <f t="shared" si="113"/>
        <v>001</v>
      </c>
      <c r="F1328" s="141" t="s">
        <v>4326</v>
      </c>
      <c r="G1328" s="141" t="str">
        <f>"1285"</f>
        <v>1285</v>
      </c>
      <c r="H1328" s="141" t="s">
        <v>755</v>
      </c>
      <c r="I1328" s="141" t="str">
        <f t="shared" si="114"/>
        <v>999</v>
      </c>
      <c r="J1328" s="141" t="s">
        <v>4327</v>
      </c>
      <c r="K1328" s="141">
        <v>1036</v>
      </c>
      <c r="L1328" s="141">
        <v>6</v>
      </c>
      <c r="M1328" s="141">
        <v>0</v>
      </c>
      <c r="N1328" s="141">
        <v>3000</v>
      </c>
      <c r="O1328" s="141" t="s">
        <v>4350</v>
      </c>
      <c r="P1328" s="141"/>
    </row>
    <row r="1329" spans="1:16" ht="25.5">
      <c r="A1329" s="141">
        <v>76807</v>
      </c>
      <c r="B1329" s="141" t="s">
        <v>4325</v>
      </c>
      <c r="C1329" s="142">
        <v>41201</v>
      </c>
      <c r="D1329" s="141">
        <v>393</v>
      </c>
      <c r="E1329" s="141" t="str">
        <f t="shared" si="113"/>
        <v>001</v>
      </c>
      <c r="F1329" s="141" t="s">
        <v>4326</v>
      </c>
      <c r="G1329" s="141" t="str">
        <f>"1285"</f>
        <v>1285</v>
      </c>
      <c r="H1329" s="141" t="s">
        <v>755</v>
      </c>
      <c r="I1329" s="141" t="str">
        <f t="shared" si="114"/>
        <v>999</v>
      </c>
      <c r="J1329" s="141" t="s">
        <v>4327</v>
      </c>
      <c r="K1329" s="141">
        <v>1037</v>
      </c>
      <c r="L1329" s="141">
        <v>6</v>
      </c>
      <c r="M1329" s="141">
        <v>0</v>
      </c>
      <c r="N1329" s="141">
        <v>110000</v>
      </c>
      <c r="O1329" s="141" t="s">
        <v>4357</v>
      </c>
      <c r="P1329" s="141" t="s">
        <v>4744</v>
      </c>
    </row>
    <row r="1330" spans="1:16" ht="25.5">
      <c r="A1330" s="141">
        <v>76807</v>
      </c>
      <c r="B1330" s="141" t="s">
        <v>4325</v>
      </c>
      <c r="C1330" s="142">
        <v>41201</v>
      </c>
      <c r="D1330" s="141">
        <v>393</v>
      </c>
      <c r="E1330" s="141" t="str">
        <f t="shared" si="113"/>
        <v>001</v>
      </c>
      <c r="F1330" s="141" t="s">
        <v>4326</v>
      </c>
      <c r="G1330" s="141" t="str">
        <f>"1285"</f>
        <v>1285</v>
      </c>
      <c r="H1330" s="141" t="s">
        <v>755</v>
      </c>
      <c r="I1330" s="141" t="str">
        <f t="shared" si="114"/>
        <v>999</v>
      </c>
      <c r="J1330" s="141" t="s">
        <v>4327</v>
      </c>
      <c r="K1330" s="141">
        <v>1038</v>
      </c>
      <c r="L1330" s="141">
        <v>1</v>
      </c>
      <c r="M1330" s="141">
        <v>0</v>
      </c>
      <c r="N1330" s="141">
        <v>32000</v>
      </c>
      <c r="O1330" s="141" t="s">
        <v>4337</v>
      </c>
      <c r="P1330" s="141" t="s">
        <v>4480</v>
      </c>
    </row>
    <row r="1331" spans="1:16" ht="25.5">
      <c r="A1331" s="141">
        <v>76807</v>
      </c>
      <c r="B1331" s="141" t="s">
        <v>4325</v>
      </c>
      <c r="C1331" s="142">
        <v>41201</v>
      </c>
      <c r="D1331" s="141">
        <v>390</v>
      </c>
      <c r="E1331" s="141" t="str">
        <f t="shared" si="113"/>
        <v>001</v>
      </c>
      <c r="F1331" s="141" t="s">
        <v>4326</v>
      </c>
      <c r="G1331" s="141" t="str">
        <f>"1287"</f>
        <v>1287</v>
      </c>
      <c r="H1331" s="141" t="s">
        <v>1648</v>
      </c>
      <c r="I1331" s="141" t="str">
        <f t="shared" si="114"/>
        <v>999</v>
      </c>
      <c r="J1331" s="141" t="s">
        <v>4327</v>
      </c>
      <c r="K1331" s="141">
        <v>1025</v>
      </c>
      <c r="L1331" s="141">
        <v>1</v>
      </c>
      <c r="M1331" s="141">
        <v>0</v>
      </c>
      <c r="N1331" s="141">
        <v>2000</v>
      </c>
      <c r="O1331" s="141" t="s">
        <v>4351</v>
      </c>
      <c r="P1331" s="141" t="s">
        <v>4745</v>
      </c>
    </row>
    <row r="1332" spans="1:16" ht="25.5">
      <c r="A1332" s="141">
        <v>76807</v>
      </c>
      <c r="B1332" s="141" t="s">
        <v>4325</v>
      </c>
      <c r="C1332" s="142">
        <v>41201</v>
      </c>
      <c r="D1332" s="141">
        <v>390</v>
      </c>
      <c r="E1332" s="141" t="str">
        <f t="shared" si="113"/>
        <v>001</v>
      </c>
      <c r="F1332" s="141" t="s">
        <v>4326</v>
      </c>
      <c r="G1332" s="141" t="str">
        <f>"1287"</f>
        <v>1287</v>
      </c>
      <c r="H1332" s="141" t="s">
        <v>1648</v>
      </c>
      <c r="I1332" s="141" t="str">
        <f t="shared" si="114"/>
        <v>999</v>
      </c>
      <c r="J1332" s="141" t="s">
        <v>4327</v>
      </c>
      <c r="K1332" s="141">
        <v>1026</v>
      </c>
      <c r="L1332" s="141">
        <v>25</v>
      </c>
      <c r="M1332" s="141">
        <v>0</v>
      </c>
      <c r="N1332" s="141">
        <v>96000</v>
      </c>
      <c r="O1332" s="141" t="s">
        <v>4357</v>
      </c>
      <c r="P1332" s="141" t="s">
        <v>4335</v>
      </c>
    </row>
    <row r="1333" spans="1:16" ht="25.5">
      <c r="A1333" s="141">
        <v>76807</v>
      </c>
      <c r="B1333" s="141" t="s">
        <v>4325</v>
      </c>
      <c r="C1333" s="142">
        <v>41201</v>
      </c>
      <c r="D1333" s="141">
        <v>390</v>
      </c>
      <c r="E1333" s="141" t="str">
        <f t="shared" si="113"/>
        <v>001</v>
      </c>
      <c r="F1333" s="141" t="s">
        <v>4326</v>
      </c>
      <c r="G1333" s="141" t="str">
        <f>"1287"</f>
        <v>1287</v>
      </c>
      <c r="H1333" s="141" t="s">
        <v>1648</v>
      </c>
      <c r="I1333" s="141" t="str">
        <f t="shared" si="114"/>
        <v>999</v>
      </c>
      <c r="J1333" s="141" t="s">
        <v>4327</v>
      </c>
      <c r="K1333" s="141">
        <v>1027</v>
      </c>
      <c r="L1333" s="141">
        <v>1</v>
      </c>
      <c r="M1333" s="141">
        <v>0</v>
      </c>
      <c r="N1333" s="141">
        <v>112000</v>
      </c>
      <c r="O1333" s="141" t="s">
        <v>4366</v>
      </c>
      <c r="P1333" s="141" t="s">
        <v>4367</v>
      </c>
    </row>
    <row r="1334" spans="1:16" ht="25.5">
      <c r="A1334" s="141">
        <v>76807</v>
      </c>
      <c r="B1334" s="141" t="s">
        <v>4325</v>
      </c>
      <c r="C1334" s="142">
        <v>41201</v>
      </c>
      <c r="D1334" s="141">
        <v>1186</v>
      </c>
      <c r="E1334" s="141" t="str">
        <f t="shared" si="113"/>
        <v>001</v>
      </c>
      <c r="F1334" s="141" t="s">
        <v>4326</v>
      </c>
      <c r="G1334" s="141" t="str">
        <f t="shared" ref="G1334:G1344" si="116">"1288"</f>
        <v>1288</v>
      </c>
      <c r="H1334" s="141" t="s">
        <v>2413</v>
      </c>
      <c r="I1334" s="141" t="str">
        <f t="shared" si="114"/>
        <v>999</v>
      </c>
      <c r="J1334" s="141" t="s">
        <v>4327</v>
      </c>
      <c r="K1334" s="141">
        <v>3284</v>
      </c>
      <c r="L1334" s="141">
        <v>1</v>
      </c>
      <c r="M1334" s="141">
        <v>0</v>
      </c>
      <c r="N1334" s="141">
        <v>6000</v>
      </c>
      <c r="O1334" s="141" t="s">
        <v>4407</v>
      </c>
      <c r="P1334" s="141"/>
    </row>
    <row r="1335" spans="1:16" ht="25.5">
      <c r="A1335" s="141">
        <v>76807</v>
      </c>
      <c r="B1335" s="141" t="s">
        <v>4325</v>
      </c>
      <c r="C1335" s="142">
        <v>41201</v>
      </c>
      <c r="D1335" s="141">
        <v>1186</v>
      </c>
      <c r="E1335" s="141" t="str">
        <f t="shared" si="113"/>
        <v>001</v>
      </c>
      <c r="F1335" s="141" t="s">
        <v>4326</v>
      </c>
      <c r="G1335" s="141" t="str">
        <f t="shared" si="116"/>
        <v>1288</v>
      </c>
      <c r="H1335" s="141" t="s">
        <v>2413</v>
      </c>
      <c r="I1335" s="141" t="str">
        <f t="shared" si="114"/>
        <v>999</v>
      </c>
      <c r="J1335" s="141" t="s">
        <v>4327</v>
      </c>
      <c r="K1335" s="141">
        <v>3285</v>
      </c>
      <c r="L1335" s="141">
        <v>2</v>
      </c>
      <c r="M1335" s="141">
        <v>0</v>
      </c>
      <c r="N1335" s="141">
        <v>13000</v>
      </c>
      <c r="O1335" s="141" t="s">
        <v>4500</v>
      </c>
      <c r="P1335" s="141"/>
    </row>
    <row r="1336" spans="1:16" ht="25.5">
      <c r="A1336" s="141">
        <v>76807</v>
      </c>
      <c r="B1336" s="141" t="s">
        <v>4325</v>
      </c>
      <c r="C1336" s="142">
        <v>41201</v>
      </c>
      <c r="D1336" s="141">
        <v>1186</v>
      </c>
      <c r="E1336" s="141" t="str">
        <f t="shared" si="113"/>
        <v>001</v>
      </c>
      <c r="F1336" s="141" t="s">
        <v>4326</v>
      </c>
      <c r="G1336" s="141" t="str">
        <f t="shared" si="116"/>
        <v>1288</v>
      </c>
      <c r="H1336" s="141" t="s">
        <v>2413</v>
      </c>
      <c r="I1336" s="141" t="str">
        <f t="shared" si="114"/>
        <v>999</v>
      </c>
      <c r="J1336" s="141" t="s">
        <v>4327</v>
      </c>
      <c r="K1336" s="141">
        <v>3286</v>
      </c>
      <c r="L1336" s="141">
        <v>1</v>
      </c>
      <c r="M1336" s="141">
        <v>0</v>
      </c>
      <c r="N1336" s="141">
        <v>4000</v>
      </c>
      <c r="O1336" s="141" t="s">
        <v>4351</v>
      </c>
      <c r="P1336" s="141" t="s">
        <v>4746</v>
      </c>
    </row>
    <row r="1337" spans="1:16" ht="25.5">
      <c r="A1337" s="141">
        <v>76807</v>
      </c>
      <c r="B1337" s="141" t="s">
        <v>4325</v>
      </c>
      <c r="C1337" s="142">
        <v>41201</v>
      </c>
      <c r="D1337" s="141">
        <v>1186</v>
      </c>
      <c r="E1337" s="141" t="str">
        <f t="shared" si="113"/>
        <v>001</v>
      </c>
      <c r="F1337" s="141" t="s">
        <v>4326</v>
      </c>
      <c r="G1337" s="141" t="str">
        <f t="shared" si="116"/>
        <v>1288</v>
      </c>
      <c r="H1337" s="141" t="s">
        <v>2413</v>
      </c>
      <c r="I1337" s="141" t="str">
        <f t="shared" si="114"/>
        <v>999</v>
      </c>
      <c r="J1337" s="141" t="s">
        <v>4327</v>
      </c>
      <c r="K1337" s="141">
        <v>3287</v>
      </c>
      <c r="L1337" s="141">
        <v>1</v>
      </c>
      <c r="M1337" s="141">
        <v>0</v>
      </c>
      <c r="N1337" s="141">
        <v>7000</v>
      </c>
      <c r="O1337" s="141" t="s">
        <v>4341</v>
      </c>
      <c r="P1337" s="141" t="s">
        <v>4557</v>
      </c>
    </row>
    <row r="1338" spans="1:16" ht="25.5">
      <c r="A1338" s="141">
        <v>76807</v>
      </c>
      <c r="B1338" s="141" t="s">
        <v>4325</v>
      </c>
      <c r="C1338" s="142">
        <v>41201</v>
      </c>
      <c r="D1338" s="141">
        <v>1186</v>
      </c>
      <c r="E1338" s="141" t="str">
        <f t="shared" si="113"/>
        <v>001</v>
      </c>
      <c r="F1338" s="141" t="s">
        <v>4326</v>
      </c>
      <c r="G1338" s="141" t="str">
        <f t="shared" si="116"/>
        <v>1288</v>
      </c>
      <c r="H1338" s="141" t="s">
        <v>2413</v>
      </c>
      <c r="I1338" s="141" t="str">
        <f t="shared" si="114"/>
        <v>999</v>
      </c>
      <c r="J1338" s="141" t="s">
        <v>4327</v>
      </c>
      <c r="K1338" s="141">
        <v>3288</v>
      </c>
      <c r="L1338" s="141">
        <v>1</v>
      </c>
      <c r="M1338" s="141">
        <v>0</v>
      </c>
      <c r="N1338" s="141">
        <v>30000</v>
      </c>
      <c r="O1338" s="141" t="s">
        <v>4458</v>
      </c>
      <c r="P1338" s="141" t="s">
        <v>4504</v>
      </c>
    </row>
    <row r="1339" spans="1:16" ht="25.5">
      <c r="A1339" s="141">
        <v>76807</v>
      </c>
      <c r="B1339" s="141" t="s">
        <v>4325</v>
      </c>
      <c r="C1339" s="142">
        <v>41201</v>
      </c>
      <c r="D1339" s="141">
        <v>1186</v>
      </c>
      <c r="E1339" s="141" t="str">
        <f t="shared" si="113"/>
        <v>001</v>
      </c>
      <c r="F1339" s="141" t="s">
        <v>4326</v>
      </c>
      <c r="G1339" s="141" t="str">
        <f t="shared" si="116"/>
        <v>1288</v>
      </c>
      <c r="H1339" s="141" t="s">
        <v>2413</v>
      </c>
      <c r="I1339" s="141" t="str">
        <f t="shared" si="114"/>
        <v>999</v>
      </c>
      <c r="J1339" s="141" t="s">
        <v>4327</v>
      </c>
      <c r="K1339" s="141">
        <v>3289</v>
      </c>
      <c r="L1339" s="141">
        <v>4</v>
      </c>
      <c r="M1339" s="141">
        <v>0</v>
      </c>
      <c r="N1339" s="141">
        <v>9000</v>
      </c>
      <c r="O1339" s="141" t="s">
        <v>4408</v>
      </c>
      <c r="P1339" s="141"/>
    </row>
    <row r="1340" spans="1:16" ht="25.5">
      <c r="A1340" s="141">
        <v>76807</v>
      </c>
      <c r="B1340" s="141" t="s">
        <v>4325</v>
      </c>
      <c r="C1340" s="142">
        <v>41201</v>
      </c>
      <c r="D1340" s="141">
        <v>1186</v>
      </c>
      <c r="E1340" s="141" t="str">
        <f t="shared" si="113"/>
        <v>001</v>
      </c>
      <c r="F1340" s="141" t="s">
        <v>4326</v>
      </c>
      <c r="G1340" s="141" t="str">
        <f t="shared" si="116"/>
        <v>1288</v>
      </c>
      <c r="H1340" s="141" t="s">
        <v>2413</v>
      </c>
      <c r="I1340" s="141" t="str">
        <f t="shared" si="114"/>
        <v>999</v>
      </c>
      <c r="J1340" s="141" t="s">
        <v>4327</v>
      </c>
      <c r="K1340" s="141">
        <v>3290</v>
      </c>
      <c r="L1340" s="141">
        <v>1</v>
      </c>
      <c r="M1340" s="141">
        <v>0</v>
      </c>
      <c r="N1340" s="141">
        <v>1000</v>
      </c>
      <c r="O1340" s="141" t="s">
        <v>4344</v>
      </c>
      <c r="P1340" s="141"/>
    </row>
    <row r="1341" spans="1:16" ht="25.5">
      <c r="A1341" s="141">
        <v>76807</v>
      </c>
      <c r="B1341" s="141" t="s">
        <v>4325</v>
      </c>
      <c r="C1341" s="142">
        <v>41201</v>
      </c>
      <c r="D1341" s="141">
        <v>1186</v>
      </c>
      <c r="E1341" s="141" t="str">
        <f t="shared" si="113"/>
        <v>001</v>
      </c>
      <c r="F1341" s="141" t="s">
        <v>4326</v>
      </c>
      <c r="G1341" s="141" t="str">
        <f t="shared" si="116"/>
        <v>1288</v>
      </c>
      <c r="H1341" s="141" t="s">
        <v>2413</v>
      </c>
      <c r="I1341" s="141" t="str">
        <f t="shared" si="114"/>
        <v>999</v>
      </c>
      <c r="J1341" s="141" t="s">
        <v>4327</v>
      </c>
      <c r="K1341" s="141">
        <v>3291</v>
      </c>
      <c r="L1341" s="141">
        <v>2</v>
      </c>
      <c r="M1341" s="141">
        <v>0</v>
      </c>
      <c r="N1341" s="141">
        <v>1000</v>
      </c>
      <c r="O1341" s="141" t="s">
        <v>4403</v>
      </c>
      <c r="P1341" s="141"/>
    </row>
    <row r="1342" spans="1:16" ht="25.5">
      <c r="A1342" s="141">
        <v>76807</v>
      </c>
      <c r="B1342" s="141" t="s">
        <v>4325</v>
      </c>
      <c r="C1342" s="142">
        <v>41201</v>
      </c>
      <c r="D1342" s="141">
        <v>1186</v>
      </c>
      <c r="E1342" s="141" t="str">
        <f t="shared" si="113"/>
        <v>001</v>
      </c>
      <c r="F1342" s="141" t="s">
        <v>4326</v>
      </c>
      <c r="G1342" s="141" t="str">
        <f t="shared" si="116"/>
        <v>1288</v>
      </c>
      <c r="H1342" s="141" t="s">
        <v>2413</v>
      </c>
      <c r="I1342" s="141" t="str">
        <f t="shared" si="114"/>
        <v>999</v>
      </c>
      <c r="J1342" s="141" t="s">
        <v>4327</v>
      </c>
      <c r="K1342" s="141">
        <v>3292</v>
      </c>
      <c r="L1342" s="141">
        <v>1</v>
      </c>
      <c r="M1342" s="141">
        <v>0</v>
      </c>
      <c r="N1342" s="141">
        <v>1000</v>
      </c>
      <c r="O1342" s="141" t="s">
        <v>4434</v>
      </c>
      <c r="P1342" s="141"/>
    </row>
    <row r="1343" spans="1:16" ht="25.5">
      <c r="A1343" s="141">
        <v>76807</v>
      </c>
      <c r="B1343" s="141" t="s">
        <v>4325</v>
      </c>
      <c r="C1343" s="142">
        <v>41201</v>
      </c>
      <c r="D1343" s="141">
        <v>1186</v>
      </c>
      <c r="E1343" s="141" t="str">
        <f t="shared" si="113"/>
        <v>001</v>
      </c>
      <c r="F1343" s="141" t="s">
        <v>4326</v>
      </c>
      <c r="G1343" s="141" t="str">
        <f t="shared" si="116"/>
        <v>1288</v>
      </c>
      <c r="H1343" s="141" t="s">
        <v>2413</v>
      </c>
      <c r="I1343" s="141" t="str">
        <f t="shared" si="114"/>
        <v>999</v>
      </c>
      <c r="J1343" s="141" t="s">
        <v>4327</v>
      </c>
      <c r="K1343" s="141">
        <v>3293</v>
      </c>
      <c r="L1343" s="141">
        <v>1</v>
      </c>
      <c r="M1343" s="141">
        <v>0</v>
      </c>
      <c r="N1343" s="141">
        <v>1000</v>
      </c>
      <c r="O1343" s="141" t="s">
        <v>4350</v>
      </c>
      <c r="P1343" s="141"/>
    </row>
    <row r="1344" spans="1:16" ht="25.5">
      <c r="A1344" s="141">
        <v>76807</v>
      </c>
      <c r="B1344" s="141" t="s">
        <v>4325</v>
      </c>
      <c r="C1344" s="142">
        <v>41201</v>
      </c>
      <c r="D1344" s="141">
        <v>1186</v>
      </c>
      <c r="E1344" s="141" t="str">
        <f t="shared" si="113"/>
        <v>001</v>
      </c>
      <c r="F1344" s="141" t="s">
        <v>4326</v>
      </c>
      <c r="G1344" s="141" t="str">
        <f t="shared" si="116"/>
        <v>1288</v>
      </c>
      <c r="H1344" s="141" t="s">
        <v>2413</v>
      </c>
      <c r="I1344" s="141" t="str">
        <f t="shared" si="114"/>
        <v>999</v>
      </c>
      <c r="J1344" s="141" t="s">
        <v>4327</v>
      </c>
      <c r="K1344" s="141">
        <v>3348</v>
      </c>
      <c r="L1344" s="141">
        <v>1</v>
      </c>
      <c r="M1344" s="141">
        <v>0</v>
      </c>
      <c r="N1344" s="141">
        <v>20000</v>
      </c>
      <c r="O1344" s="141" t="s">
        <v>4747</v>
      </c>
      <c r="P1344" s="141"/>
    </row>
    <row r="1345" spans="1:16" ht="25.5">
      <c r="A1345" s="141">
        <v>76807</v>
      </c>
      <c r="B1345" s="141" t="s">
        <v>4325</v>
      </c>
      <c r="C1345" s="142">
        <v>41201</v>
      </c>
      <c r="D1345" s="141">
        <v>715</v>
      </c>
      <c r="E1345" s="141" t="str">
        <f t="shared" si="113"/>
        <v>001</v>
      </c>
      <c r="F1345" s="141" t="s">
        <v>4326</v>
      </c>
      <c r="G1345" s="141" t="str">
        <f t="shared" ref="G1345:G1365" si="117">"1289"</f>
        <v>1289</v>
      </c>
      <c r="H1345" s="141" t="s">
        <v>2662</v>
      </c>
      <c r="I1345" s="141" t="str">
        <f t="shared" si="114"/>
        <v>999</v>
      </c>
      <c r="J1345" s="141" t="s">
        <v>4327</v>
      </c>
      <c r="K1345" s="141">
        <v>2082</v>
      </c>
      <c r="L1345" s="141">
        <v>1</v>
      </c>
      <c r="M1345" s="141">
        <v>0</v>
      </c>
      <c r="N1345" s="141">
        <v>49000</v>
      </c>
      <c r="O1345" s="141" t="s">
        <v>4337</v>
      </c>
      <c r="P1345" s="141" t="s">
        <v>4748</v>
      </c>
    </row>
    <row r="1346" spans="1:16" ht="25.5">
      <c r="A1346" s="141">
        <v>76807</v>
      </c>
      <c r="B1346" s="141" t="s">
        <v>4325</v>
      </c>
      <c r="C1346" s="142">
        <v>41201</v>
      </c>
      <c r="D1346" s="141">
        <v>715</v>
      </c>
      <c r="E1346" s="141" t="str">
        <f t="shared" ref="E1346:E1409" si="118">"001"</f>
        <v>001</v>
      </c>
      <c r="F1346" s="141" t="s">
        <v>4326</v>
      </c>
      <c r="G1346" s="141" t="str">
        <f t="shared" si="117"/>
        <v>1289</v>
      </c>
      <c r="H1346" s="141" t="s">
        <v>2662</v>
      </c>
      <c r="I1346" s="141" t="str">
        <f t="shared" ref="I1346:I1409" si="119">"999"</f>
        <v>999</v>
      </c>
      <c r="J1346" s="141" t="s">
        <v>4327</v>
      </c>
      <c r="K1346" s="141">
        <v>2083</v>
      </c>
      <c r="L1346" s="141">
        <v>1</v>
      </c>
      <c r="M1346" s="141">
        <v>0</v>
      </c>
      <c r="N1346" s="141">
        <v>4000</v>
      </c>
      <c r="O1346" s="141" t="s">
        <v>4351</v>
      </c>
      <c r="P1346" s="141" t="s">
        <v>4430</v>
      </c>
    </row>
    <row r="1347" spans="1:16" ht="25.5">
      <c r="A1347" s="141">
        <v>76807</v>
      </c>
      <c r="B1347" s="141" t="s">
        <v>4325</v>
      </c>
      <c r="C1347" s="142">
        <v>41201</v>
      </c>
      <c r="D1347" s="141">
        <v>715</v>
      </c>
      <c r="E1347" s="141" t="str">
        <f t="shared" si="118"/>
        <v>001</v>
      </c>
      <c r="F1347" s="141" t="s">
        <v>4326</v>
      </c>
      <c r="G1347" s="141" t="str">
        <f t="shared" si="117"/>
        <v>1289</v>
      </c>
      <c r="H1347" s="141" t="s">
        <v>2662</v>
      </c>
      <c r="I1347" s="141" t="str">
        <f t="shared" si="119"/>
        <v>999</v>
      </c>
      <c r="J1347" s="141" t="s">
        <v>4327</v>
      </c>
      <c r="K1347" s="141">
        <v>2084</v>
      </c>
      <c r="L1347" s="141">
        <v>2</v>
      </c>
      <c r="M1347" s="141">
        <v>0</v>
      </c>
      <c r="N1347" s="141">
        <v>5000</v>
      </c>
      <c r="O1347" s="141" t="s">
        <v>4339</v>
      </c>
      <c r="P1347" s="141" t="s">
        <v>4340</v>
      </c>
    </row>
    <row r="1348" spans="1:16" ht="25.5">
      <c r="A1348" s="141">
        <v>76807</v>
      </c>
      <c r="B1348" s="141" t="s">
        <v>4325</v>
      </c>
      <c r="C1348" s="142">
        <v>41201</v>
      </c>
      <c r="D1348" s="141">
        <v>715</v>
      </c>
      <c r="E1348" s="141" t="str">
        <f t="shared" si="118"/>
        <v>001</v>
      </c>
      <c r="F1348" s="141" t="s">
        <v>4326</v>
      </c>
      <c r="G1348" s="141" t="str">
        <f t="shared" si="117"/>
        <v>1289</v>
      </c>
      <c r="H1348" s="141" t="s">
        <v>2662</v>
      </c>
      <c r="I1348" s="141" t="str">
        <f t="shared" si="119"/>
        <v>999</v>
      </c>
      <c r="J1348" s="141" t="s">
        <v>4327</v>
      </c>
      <c r="K1348" s="141">
        <v>2085</v>
      </c>
      <c r="L1348" s="141">
        <v>1</v>
      </c>
      <c r="M1348" s="141">
        <v>0</v>
      </c>
      <c r="N1348" s="141">
        <v>29000</v>
      </c>
      <c r="O1348" s="141" t="s">
        <v>4525</v>
      </c>
      <c r="P1348" s="141"/>
    </row>
    <row r="1349" spans="1:16" ht="25.5">
      <c r="A1349" s="141">
        <v>76807</v>
      </c>
      <c r="B1349" s="141" t="s">
        <v>4325</v>
      </c>
      <c r="C1349" s="142">
        <v>41201</v>
      </c>
      <c r="D1349" s="141">
        <v>715</v>
      </c>
      <c r="E1349" s="141" t="str">
        <f t="shared" si="118"/>
        <v>001</v>
      </c>
      <c r="F1349" s="141" t="s">
        <v>4326</v>
      </c>
      <c r="G1349" s="141" t="str">
        <f t="shared" si="117"/>
        <v>1289</v>
      </c>
      <c r="H1349" s="141" t="s">
        <v>2662</v>
      </c>
      <c r="I1349" s="141" t="str">
        <f t="shared" si="119"/>
        <v>999</v>
      </c>
      <c r="J1349" s="141" t="s">
        <v>4327</v>
      </c>
      <c r="K1349" s="141">
        <v>2086</v>
      </c>
      <c r="L1349" s="141">
        <v>3</v>
      </c>
      <c r="M1349" s="141">
        <v>0</v>
      </c>
      <c r="N1349" s="141">
        <v>16000</v>
      </c>
      <c r="O1349" s="141" t="s">
        <v>4455</v>
      </c>
      <c r="P1349" s="141"/>
    </row>
    <row r="1350" spans="1:16" ht="25.5">
      <c r="A1350" s="141">
        <v>76807</v>
      </c>
      <c r="B1350" s="141" t="s">
        <v>4325</v>
      </c>
      <c r="C1350" s="142">
        <v>41201</v>
      </c>
      <c r="D1350" s="141">
        <v>715</v>
      </c>
      <c r="E1350" s="141" t="str">
        <f t="shared" si="118"/>
        <v>001</v>
      </c>
      <c r="F1350" s="141" t="s">
        <v>4326</v>
      </c>
      <c r="G1350" s="141" t="str">
        <f t="shared" si="117"/>
        <v>1289</v>
      </c>
      <c r="H1350" s="141" t="s">
        <v>2662</v>
      </c>
      <c r="I1350" s="141" t="str">
        <f t="shared" si="119"/>
        <v>999</v>
      </c>
      <c r="J1350" s="141" t="s">
        <v>4327</v>
      </c>
      <c r="K1350" s="141">
        <v>2087</v>
      </c>
      <c r="L1350" s="141">
        <v>2</v>
      </c>
      <c r="M1350" s="141">
        <v>0</v>
      </c>
      <c r="N1350" s="141">
        <v>3000</v>
      </c>
      <c r="O1350" s="141" t="s">
        <v>4442</v>
      </c>
      <c r="P1350" s="141"/>
    </row>
    <row r="1351" spans="1:16" ht="25.5">
      <c r="A1351" s="141">
        <v>76807</v>
      </c>
      <c r="B1351" s="141" t="s">
        <v>4325</v>
      </c>
      <c r="C1351" s="142">
        <v>41201</v>
      </c>
      <c r="D1351" s="141">
        <v>715</v>
      </c>
      <c r="E1351" s="141" t="str">
        <f t="shared" si="118"/>
        <v>001</v>
      </c>
      <c r="F1351" s="141" t="s">
        <v>4326</v>
      </c>
      <c r="G1351" s="141" t="str">
        <f t="shared" si="117"/>
        <v>1289</v>
      </c>
      <c r="H1351" s="141" t="s">
        <v>2662</v>
      </c>
      <c r="I1351" s="141" t="str">
        <f t="shared" si="119"/>
        <v>999</v>
      </c>
      <c r="J1351" s="141" t="s">
        <v>4327</v>
      </c>
      <c r="K1351" s="141">
        <v>2088</v>
      </c>
      <c r="L1351" s="141">
        <v>1</v>
      </c>
      <c r="M1351" s="141">
        <v>0</v>
      </c>
      <c r="N1351" s="141">
        <v>25000</v>
      </c>
      <c r="O1351" s="141" t="s">
        <v>4368</v>
      </c>
      <c r="P1351" s="141"/>
    </row>
    <row r="1352" spans="1:16" ht="25.5">
      <c r="A1352" s="141">
        <v>76807</v>
      </c>
      <c r="B1352" s="141" t="s">
        <v>4325</v>
      </c>
      <c r="C1352" s="142">
        <v>41201</v>
      </c>
      <c r="D1352" s="141">
        <v>715</v>
      </c>
      <c r="E1352" s="141" t="str">
        <f t="shared" si="118"/>
        <v>001</v>
      </c>
      <c r="F1352" s="141" t="s">
        <v>4326</v>
      </c>
      <c r="G1352" s="141" t="str">
        <f t="shared" si="117"/>
        <v>1289</v>
      </c>
      <c r="H1352" s="141" t="s">
        <v>2662</v>
      </c>
      <c r="I1352" s="141" t="str">
        <f t="shared" si="119"/>
        <v>999</v>
      </c>
      <c r="J1352" s="141" t="s">
        <v>4327</v>
      </c>
      <c r="K1352" s="141">
        <v>2089</v>
      </c>
      <c r="L1352" s="141">
        <v>1</v>
      </c>
      <c r="M1352" s="141">
        <v>0</v>
      </c>
      <c r="N1352" s="141">
        <v>1000</v>
      </c>
      <c r="O1352" s="141" t="s">
        <v>4381</v>
      </c>
      <c r="P1352" s="141"/>
    </row>
    <row r="1353" spans="1:16" ht="25.5">
      <c r="A1353" s="141">
        <v>76807</v>
      </c>
      <c r="B1353" s="141" t="s">
        <v>4325</v>
      </c>
      <c r="C1353" s="142">
        <v>41201</v>
      </c>
      <c r="D1353" s="141">
        <v>715</v>
      </c>
      <c r="E1353" s="141" t="str">
        <f t="shared" si="118"/>
        <v>001</v>
      </c>
      <c r="F1353" s="141" t="s">
        <v>4326</v>
      </c>
      <c r="G1353" s="141" t="str">
        <f t="shared" si="117"/>
        <v>1289</v>
      </c>
      <c r="H1353" s="141" t="s">
        <v>2662</v>
      </c>
      <c r="I1353" s="141" t="str">
        <f t="shared" si="119"/>
        <v>999</v>
      </c>
      <c r="J1353" s="141" t="s">
        <v>4327</v>
      </c>
      <c r="K1353" s="141">
        <v>2090</v>
      </c>
      <c r="L1353" s="141">
        <v>7</v>
      </c>
      <c r="M1353" s="141">
        <v>0</v>
      </c>
      <c r="N1353" s="141">
        <v>4000</v>
      </c>
      <c r="O1353" s="141" t="s">
        <v>4350</v>
      </c>
      <c r="P1353" s="141"/>
    </row>
    <row r="1354" spans="1:16" ht="25.5">
      <c r="A1354" s="141">
        <v>76807</v>
      </c>
      <c r="B1354" s="141" t="s">
        <v>4325</v>
      </c>
      <c r="C1354" s="142">
        <v>41201</v>
      </c>
      <c r="D1354" s="141">
        <v>715</v>
      </c>
      <c r="E1354" s="141" t="str">
        <f t="shared" si="118"/>
        <v>001</v>
      </c>
      <c r="F1354" s="141" t="s">
        <v>4326</v>
      </c>
      <c r="G1354" s="141" t="str">
        <f t="shared" si="117"/>
        <v>1289</v>
      </c>
      <c r="H1354" s="141" t="s">
        <v>2662</v>
      </c>
      <c r="I1354" s="141" t="str">
        <f t="shared" si="119"/>
        <v>999</v>
      </c>
      <c r="J1354" s="141" t="s">
        <v>4327</v>
      </c>
      <c r="K1354" s="141">
        <v>2091</v>
      </c>
      <c r="L1354" s="141">
        <v>3</v>
      </c>
      <c r="M1354" s="141">
        <v>0</v>
      </c>
      <c r="N1354" s="141">
        <v>2000</v>
      </c>
      <c r="O1354" s="141" t="s">
        <v>4343</v>
      </c>
      <c r="P1354" s="141"/>
    </row>
    <row r="1355" spans="1:16" ht="25.5">
      <c r="A1355" s="141">
        <v>76807</v>
      </c>
      <c r="B1355" s="141" t="s">
        <v>4325</v>
      </c>
      <c r="C1355" s="142">
        <v>41201</v>
      </c>
      <c r="D1355" s="141">
        <v>715</v>
      </c>
      <c r="E1355" s="141" t="str">
        <f t="shared" si="118"/>
        <v>001</v>
      </c>
      <c r="F1355" s="141" t="s">
        <v>4326</v>
      </c>
      <c r="G1355" s="141" t="str">
        <f t="shared" si="117"/>
        <v>1289</v>
      </c>
      <c r="H1355" s="141" t="s">
        <v>2662</v>
      </c>
      <c r="I1355" s="141" t="str">
        <f t="shared" si="119"/>
        <v>999</v>
      </c>
      <c r="J1355" s="141" t="s">
        <v>4327</v>
      </c>
      <c r="K1355" s="141">
        <v>2092</v>
      </c>
      <c r="L1355" s="141">
        <v>1</v>
      </c>
      <c r="M1355" s="141">
        <v>0</v>
      </c>
      <c r="N1355" s="141">
        <v>1000</v>
      </c>
      <c r="O1355" s="141" t="s">
        <v>4403</v>
      </c>
      <c r="P1355" s="141"/>
    </row>
    <row r="1356" spans="1:16" ht="25.5">
      <c r="A1356" s="141">
        <v>76807</v>
      </c>
      <c r="B1356" s="141" t="s">
        <v>4325</v>
      </c>
      <c r="C1356" s="142">
        <v>41201</v>
      </c>
      <c r="D1356" s="141">
        <v>715</v>
      </c>
      <c r="E1356" s="141" t="str">
        <f t="shared" si="118"/>
        <v>001</v>
      </c>
      <c r="F1356" s="141" t="s">
        <v>4326</v>
      </c>
      <c r="G1356" s="141" t="str">
        <f t="shared" si="117"/>
        <v>1289</v>
      </c>
      <c r="H1356" s="141" t="s">
        <v>2662</v>
      </c>
      <c r="I1356" s="141" t="str">
        <f t="shared" si="119"/>
        <v>999</v>
      </c>
      <c r="J1356" s="141" t="s">
        <v>4327</v>
      </c>
      <c r="K1356" s="141">
        <v>2093</v>
      </c>
      <c r="L1356" s="141">
        <v>2</v>
      </c>
      <c r="M1356" s="141">
        <v>0</v>
      </c>
      <c r="N1356" s="141">
        <v>4000</v>
      </c>
      <c r="O1356" s="141" t="s">
        <v>4345</v>
      </c>
      <c r="P1356" s="141"/>
    </row>
    <row r="1357" spans="1:16" ht="25.5">
      <c r="A1357" s="141">
        <v>76807</v>
      </c>
      <c r="B1357" s="141" t="s">
        <v>4325</v>
      </c>
      <c r="C1357" s="142">
        <v>41201</v>
      </c>
      <c r="D1357" s="141">
        <v>715</v>
      </c>
      <c r="E1357" s="141" t="str">
        <f t="shared" si="118"/>
        <v>001</v>
      </c>
      <c r="F1357" s="141" t="s">
        <v>4326</v>
      </c>
      <c r="G1357" s="141" t="str">
        <f t="shared" si="117"/>
        <v>1289</v>
      </c>
      <c r="H1357" s="141" t="s">
        <v>2662</v>
      </c>
      <c r="I1357" s="141" t="str">
        <f t="shared" si="119"/>
        <v>999</v>
      </c>
      <c r="J1357" s="141" t="s">
        <v>4327</v>
      </c>
      <c r="K1357" s="141">
        <v>2094</v>
      </c>
      <c r="L1357" s="141">
        <v>1</v>
      </c>
      <c r="M1357" s="141">
        <v>0</v>
      </c>
      <c r="N1357" s="141">
        <v>2000</v>
      </c>
      <c r="O1357" s="141" t="s">
        <v>4749</v>
      </c>
      <c r="P1357" s="141"/>
    </row>
    <row r="1358" spans="1:16" ht="25.5">
      <c r="A1358" s="141">
        <v>76807</v>
      </c>
      <c r="B1358" s="141" t="s">
        <v>4325</v>
      </c>
      <c r="C1358" s="142">
        <v>41201</v>
      </c>
      <c r="D1358" s="141">
        <v>715</v>
      </c>
      <c r="E1358" s="141" t="str">
        <f t="shared" si="118"/>
        <v>001</v>
      </c>
      <c r="F1358" s="141" t="s">
        <v>4326</v>
      </c>
      <c r="G1358" s="141" t="str">
        <f t="shared" si="117"/>
        <v>1289</v>
      </c>
      <c r="H1358" s="141" t="s">
        <v>2662</v>
      </c>
      <c r="I1358" s="141" t="str">
        <f t="shared" si="119"/>
        <v>999</v>
      </c>
      <c r="J1358" s="141" t="s">
        <v>4327</v>
      </c>
      <c r="K1358" s="141">
        <v>2095</v>
      </c>
      <c r="L1358" s="141">
        <v>2</v>
      </c>
      <c r="M1358" s="141">
        <v>0</v>
      </c>
      <c r="N1358" s="141">
        <v>5000</v>
      </c>
      <c r="O1358" s="141" t="s">
        <v>4347</v>
      </c>
      <c r="P1358" s="141"/>
    </row>
    <row r="1359" spans="1:16" ht="25.5">
      <c r="A1359" s="141">
        <v>76807</v>
      </c>
      <c r="B1359" s="141" t="s">
        <v>4325</v>
      </c>
      <c r="C1359" s="142">
        <v>41201</v>
      </c>
      <c r="D1359" s="141">
        <v>715</v>
      </c>
      <c r="E1359" s="141" t="str">
        <f t="shared" si="118"/>
        <v>001</v>
      </c>
      <c r="F1359" s="141" t="s">
        <v>4326</v>
      </c>
      <c r="G1359" s="141" t="str">
        <f t="shared" si="117"/>
        <v>1289</v>
      </c>
      <c r="H1359" s="141" t="s">
        <v>2662</v>
      </c>
      <c r="I1359" s="141" t="str">
        <f t="shared" si="119"/>
        <v>999</v>
      </c>
      <c r="J1359" s="141" t="s">
        <v>4327</v>
      </c>
      <c r="K1359" s="141">
        <v>2096</v>
      </c>
      <c r="L1359" s="141">
        <v>2</v>
      </c>
      <c r="M1359" s="141">
        <v>0</v>
      </c>
      <c r="N1359" s="141">
        <v>3000</v>
      </c>
      <c r="O1359" s="141" t="s">
        <v>4515</v>
      </c>
      <c r="P1359" s="141"/>
    </row>
    <row r="1360" spans="1:16" ht="25.5">
      <c r="A1360" s="141">
        <v>76807</v>
      </c>
      <c r="B1360" s="141" t="s">
        <v>4325</v>
      </c>
      <c r="C1360" s="142">
        <v>41201</v>
      </c>
      <c r="D1360" s="141">
        <v>715</v>
      </c>
      <c r="E1360" s="141" t="str">
        <f t="shared" si="118"/>
        <v>001</v>
      </c>
      <c r="F1360" s="141" t="s">
        <v>4326</v>
      </c>
      <c r="G1360" s="141" t="str">
        <f t="shared" si="117"/>
        <v>1289</v>
      </c>
      <c r="H1360" s="141" t="s">
        <v>2662</v>
      </c>
      <c r="I1360" s="141" t="str">
        <f t="shared" si="119"/>
        <v>999</v>
      </c>
      <c r="J1360" s="141" t="s">
        <v>4327</v>
      </c>
      <c r="K1360" s="141">
        <v>2097</v>
      </c>
      <c r="L1360" s="141">
        <v>1</v>
      </c>
      <c r="M1360" s="141">
        <v>0</v>
      </c>
      <c r="N1360" s="141">
        <v>3000</v>
      </c>
      <c r="O1360" s="141" t="s">
        <v>4405</v>
      </c>
      <c r="P1360" s="141" t="s">
        <v>4372</v>
      </c>
    </row>
    <row r="1361" spans="1:16" ht="25.5">
      <c r="A1361" s="141">
        <v>76807</v>
      </c>
      <c r="B1361" s="141" t="s">
        <v>4325</v>
      </c>
      <c r="C1361" s="142">
        <v>41201</v>
      </c>
      <c r="D1361" s="141">
        <v>715</v>
      </c>
      <c r="E1361" s="141" t="str">
        <f t="shared" si="118"/>
        <v>001</v>
      </c>
      <c r="F1361" s="141" t="s">
        <v>4326</v>
      </c>
      <c r="G1361" s="141" t="str">
        <f t="shared" si="117"/>
        <v>1289</v>
      </c>
      <c r="H1361" s="141" t="s">
        <v>2662</v>
      </c>
      <c r="I1361" s="141" t="str">
        <f t="shared" si="119"/>
        <v>999</v>
      </c>
      <c r="J1361" s="141" t="s">
        <v>4327</v>
      </c>
      <c r="K1361" s="141">
        <v>2098</v>
      </c>
      <c r="L1361" s="141">
        <v>1</v>
      </c>
      <c r="M1361" s="141">
        <v>0</v>
      </c>
      <c r="N1361" s="141">
        <v>3000</v>
      </c>
      <c r="O1361" s="141" t="s">
        <v>4405</v>
      </c>
      <c r="P1361" s="141" t="s">
        <v>4372</v>
      </c>
    </row>
    <row r="1362" spans="1:16" ht="25.5">
      <c r="A1362" s="141">
        <v>76807</v>
      </c>
      <c r="B1362" s="141" t="s">
        <v>4325</v>
      </c>
      <c r="C1362" s="142">
        <v>41201</v>
      </c>
      <c r="D1362" s="141">
        <v>715</v>
      </c>
      <c r="E1362" s="141" t="str">
        <f t="shared" si="118"/>
        <v>001</v>
      </c>
      <c r="F1362" s="141" t="s">
        <v>4326</v>
      </c>
      <c r="G1362" s="141" t="str">
        <f t="shared" si="117"/>
        <v>1289</v>
      </c>
      <c r="H1362" s="141" t="s">
        <v>2662</v>
      </c>
      <c r="I1362" s="141" t="str">
        <f t="shared" si="119"/>
        <v>999</v>
      </c>
      <c r="J1362" s="141" t="s">
        <v>4327</v>
      </c>
      <c r="K1362" s="141">
        <v>2099</v>
      </c>
      <c r="L1362" s="141">
        <v>1</v>
      </c>
      <c r="M1362" s="141">
        <v>0</v>
      </c>
      <c r="N1362" s="141">
        <v>3000</v>
      </c>
      <c r="O1362" s="141" t="s">
        <v>4405</v>
      </c>
      <c r="P1362" s="141" t="s">
        <v>4372</v>
      </c>
    </row>
    <row r="1363" spans="1:16" ht="25.5">
      <c r="A1363" s="141">
        <v>76807</v>
      </c>
      <c r="B1363" s="141" t="s">
        <v>4325</v>
      </c>
      <c r="C1363" s="142">
        <v>41201</v>
      </c>
      <c r="D1363" s="141">
        <v>715</v>
      </c>
      <c r="E1363" s="141" t="str">
        <f t="shared" si="118"/>
        <v>001</v>
      </c>
      <c r="F1363" s="141" t="s">
        <v>4326</v>
      </c>
      <c r="G1363" s="141" t="str">
        <f t="shared" si="117"/>
        <v>1289</v>
      </c>
      <c r="H1363" s="141" t="s">
        <v>2662</v>
      </c>
      <c r="I1363" s="141" t="str">
        <f t="shared" si="119"/>
        <v>999</v>
      </c>
      <c r="J1363" s="141" t="s">
        <v>4327</v>
      </c>
      <c r="K1363" s="141">
        <v>2100</v>
      </c>
      <c r="L1363" s="141">
        <v>1</v>
      </c>
      <c r="M1363" s="141">
        <v>0</v>
      </c>
      <c r="N1363" s="141">
        <v>3000</v>
      </c>
      <c r="O1363" s="141" t="s">
        <v>4405</v>
      </c>
      <c r="P1363" s="141" t="s">
        <v>4372</v>
      </c>
    </row>
    <row r="1364" spans="1:16" ht="25.5">
      <c r="A1364" s="141">
        <v>76807</v>
      </c>
      <c r="B1364" s="141" t="s">
        <v>4325</v>
      </c>
      <c r="C1364" s="142">
        <v>41201</v>
      </c>
      <c r="D1364" s="141">
        <v>715</v>
      </c>
      <c r="E1364" s="141" t="str">
        <f t="shared" si="118"/>
        <v>001</v>
      </c>
      <c r="F1364" s="141" t="s">
        <v>4326</v>
      </c>
      <c r="G1364" s="141" t="str">
        <f t="shared" si="117"/>
        <v>1289</v>
      </c>
      <c r="H1364" s="141" t="s">
        <v>2662</v>
      </c>
      <c r="I1364" s="141" t="str">
        <f t="shared" si="119"/>
        <v>999</v>
      </c>
      <c r="J1364" s="141" t="s">
        <v>4327</v>
      </c>
      <c r="K1364" s="141">
        <v>2101</v>
      </c>
      <c r="L1364" s="141">
        <v>1</v>
      </c>
      <c r="M1364" s="141">
        <v>0</v>
      </c>
      <c r="N1364" s="141">
        <v>3000</v>
      </c>
      <c r="O1364" s="141" t="s">
        <v>4405</v>
      </c>
      <c r="P1364" s="141" t="s">
        <v>4372</v>
      </c>
    </row>
    <row r="1365" spans="1:16" ht="25.5">
      <c r="A1365" s="141">
        <v>76807</v>
      </c>
      <c r="B1365" s="141" t="s">
        <v>4325</v>
      </c>
      <c r="C1365" s="142">
        <v>41201</v>
      </c>
      <c r="D1365" s="141">
        <v>715</v>
      </c>
      <c r="E1365" s="141" t="str">
        <f t="shared" si="118"/>
        <v>001</v>
      </c>
      <c r="F1365" s="141" t="s">
        <v>4326</v>
      </c>
      <c r="G1365" s="141" t="str">
        <f t="shared" si="117"/>
        <v>1289</v>
      </c>
      <c r="H1365" s="141" t="s">
        <v>2662</v>
      </c>
      <c r="I1365" s="141" t="str">
        <f t="shared" si="119"/>
        <v>999</v>
      </c>
      <c r="J1365" s="141" t="s">
        <v>4327</v>
      </c>
      <c r="K1365" s="141">
        <v>2102</v>
      </c>
      <c r="L1365" s="141">
        <v>1</v>
      </c>
      <c r="M1365" s="141">
        <v>0</v>
      </c>
      <c r="N1365" s="141">
        <v>3000</v>
      </c>
      <c r="O1365" s="141" t="s">
        <v>4405</v>
      </c>
      <c r="P1365" s="141" t="s">
        <v>4372</v>
      </c>
    </row>
    <row r="1366" spans="1:16" ht="25.5">
      <c r="A1366" s="141">
        <v>76807</v>
      </c>
      <c r="B1366" s="141" t="s">
        <v>4325</v>
      </c>
      <c r="C1366" s="142">
        <v>41201</v>
      </c>
      <c r="D1366" s="141">
        <v>710</v>
      </c>
      <c r="E1366" s="141" t="str">
        <f t="shared" si="118"/>
        <v>001</v>
      </c>
      <c r="F1366" s="141" t="s">
        <v>4326</v>
      </c>
      <c r="G1366" s="141" t="str">
        <f t="shared" ref="G1366:G1371" si="120">"1296"</f>
        <v>1296</v>
      </c>
      <c r="H1366" s="141" t="s">
        <v>2577</v>
      </c>
      <c r="I1366" s="141" t="str">
        <f t="shared" si="119"/>
        <v>999</v>
      </c>
      <c r="J1366" s="141" t="s">
        <v>4327</v>
      </c>
      <c r="K1366" s="141">
        <v>2029</v>
      </c>
      <c r="L1366" s="141">
        <v>15</v>
      </c>
      <c r="M1366" s="141">
        <v>0</v>
      </c>
      <c r="N1366" s="141">
        <v>57000</v>
      </c>
      <c r="O1366" s="141" t="s">
        <v>4357</v>
      </c>
      <c r="P1366" s="141" t="s">
        <v>4361</v>
      </c>
    </row>
    <row r="1367" spans="1:16" ht="25.5">
      <c r="A1367" s="141">
        <v>76807</v>
      </c>
      <c r="B1367" s="141" t="s">
        <v>4325</v>
      </c>
      <c r="C1367" s="142">
        <v>41201</v>
      </c>
      <c r="D1367" s="141">
        <v>710</v>
      </c>
      <c r="E1367" s="141" t="str">
        <f t="shared" si="118"/>
        <v>001</v>
      </c>
      <c r="F1367" s="141" t="s">
        <v>4326</v>
      </c>
      <c r="G1367" s="141" t="str">
        <f t="shared" si="120"/>
        <v>1296</v>
      </c>
      <c r="H1367" s="141" t="s">
        <v>2577</v>
      </c>
      <c r="I1367" s="141" t="str">
        <f t="shared" si="119"/>
        <v>999</v>
      </c>
      <c r="J1367" s="141" t="s">
        <v>4327</v>
      </c>
      <c r="K1367" s="141">
        <v>2030</v>
      </c>
      <c r="L1367" s="141">
        <v>4</v>
      </c>
      <c r="M1367" s="141">
        <v>0</v>
      </c>
      <c r="N1367" s="141">
        <v>9000</v>
      </c>
      <c r="O1367" s="141" t="s">
        <v>4409</v>
      </c>
      <c r="P1367" s="141" t="s">
        <v>4361</v>
      </c>
    </row>
    <row r="1368" spans="1:16" ht="25.5">
      <c r="A1368" s="141">
        <v>76807</v>
      </c>
      <c r="B1368" s="141" t="s">
        <v>4325</v>
      </c>
      <c r="C1368" s="142">
        <v>41201</v>
      </c>
      <c r="D1368" s="141">
        <v>710</v>
      </c>
      <c r="E1368" s="141" t="str">
        <f t="shared" si="118"/>
        <v>001</v>
      </c>
      <c r="F1368" s="141" t="s">
        <v>4326</v>
      </c>
      <c r="G1368" s="141" t="str">
        <f t="shared" si="120"/>
        <v>1296</v>
      </c>
      <c r="H1368" s="141" t="s">
        <v>2577</v>
      </c>
      <c r="I1368" s="141" t="str">
        <f t="shared" si="119"/>
        <v>999</v>
      </c>
      <c r="J1368" s="141" t="s">
        <v>4327</v>
      </c>
      <c r="K1368" s="141">
        <v>2031</v>
      </c>
      <c r="L1368" s="141">
        <v>1</v>
      </c>
      <c r="M1368" s="141">
        <v>0</v>
      </c>
      <c r="N1368" s="141">
        <v>22000</v>
      </c>
      <c r="O1368" s="141" t="s">
        <v>4337</v>
      </c>
      <c r="P1368" s="141" t="s">
        <v>4607</v>
      </c>
    </row>
    <row r="1369" spans="1:16" ht="25.5">
      <c r="A1369" s="141">
        <v>76807</v>
      </c>
      <c r="B1369" s="141" t="s">
        <v>4325</v>
      </c>
      <c r="C1369" s="142">
        <v>41201</v>
      </c>
      <c r="D1369" s="141">
        <v>710</v>
      </c>
      <c r="E1369" s="141" t="str">
        <f t="shared" si="118"/>
        <v>001</v>
      </c>
      <c r="F1369" s="141" t="s">
        <v>4326</v>
      </c>
      <c r="G1369" s="141" t="str">
        <f t="shared" si="120"/>
        <v>1296</v>
      </c>
      <c r="H1369" s="141" t="s">
        <v>2577</v>
      </c>
      <c r="I1369" s="141" t="str">
        <f t="shared" si="119"/>
        <v>999</v>
      </c>
      <c r="J1369" s="141" t="s">
        <v>4327</v>
      </c>
      <c r="K1369" s="141">
        <v>2032</v>
      </c>
      <c r="L1369" s="141">
        <v>1</v>
      </c>
      <c r="M1369" s="141">
        <v>0</v>
      </c>
      <c r="N1369" s="141">
        <v>4000</v>
      </c>
      <c r="O1369" s="141" t="s">
        <v>4330</v>
      </c>
      <c r="P1369" s="141" t="s">
        <v>4348</v>
      </c>
    </row>
    <row r="1370" spans="1:16" ht="25.5">
      <c r="A1370" s="141">
        <v>76807</v>
      </c>
      <c r="B1370" s="141" t="s">
        <v>4325</v>
      </c>
      <c r="C1370" s="142">
        <v>41201</v>
      </c>
      <c r="D1370" s="141">
        <v>710</v>
      </c>
      <c r="E1370" s="141" t="str">
        <f t="shared" si="118"/>
        <v>001</v>
      </c>
      <c r="F1370" s="141" t="s">
        <v>4326</v>
      </c>
      <c r="G1370" s="141" t="str">
        <f t="shared" si="120"/>
        <v>1296</v>
      </c>
      <c r="H1370" s="141" t="s">
        <v>2577</v>
      </c>
      <c r="I1370" s="141" t="str">
        <f t="shared" si="119"/>
        <v>999</v>
      </c>
      <c r="J1370" s="141" t="s">
        <v>4327</v>
      </c>
      <c r="K1370" s="141">
        <v>2033</v>
      </c>
      <c r="L1370" s="141">
        <v>2</v>
      </c>
      <c r="M1370" s="141">
        <v>0</v>
      </c>
      <c r="N1370" s="141">
        <v>1000</v>
      </c>
      <c r="O1370" s="141" t="s">
        <v>4350</v>
      </c>
      <c r="P1370" s="141"/>
    </row>
    <row r="1371" spans="1:16" ht="25.5">
      <c r="A1371" s="141">
        <v>76807</v>
      </c>
      <c r="B1371" s="141" t="s">
        <v>4325</v>
      </c>
      <c r="C1371" s="142">
        <v>41201</v>
      </c>
      <c r="D1371" s="141">
        <v>710</v>
      </c>
      <c r="E1371" s="141" t="str">
        <f t="shared" si="118"/>
        <v>001</v>
      </c>
      <c r="F1371" s="141" t="s">
        <v>4326</v>
      </c>
      <c r="G1371" s="141" t="str">
        <f t="shared" si="120"/>
        <v>1296</v>
      </c>
      <c r="H1371" s="141" t="s">
        <v>2577</v>
      </c>
      <c r="I1371" s="141" t="str">
        <f t="shared" si="119"/>
        <v>999</v>
      </c>
      <c r="J1371" s="141" t="s">
        <v>4327</v>
      </c>
      <c r="K1371" s="141">
        <v>2034</v>
      </c>
      <c r="L1371" s="141">
        <v>2</v>
      </c>
      <c r="M1371" s="141">
        <v>0</v>
      </c>
      <c r="N1371" s="141">
        <v>1000</v>
      </c>
      <c r="O1371" s="141" t="s">
        <v>4343</v>
      </c>
      <c r="P1371" s="141"/>
    </row>
    <row r="1372" spans="1:16" ht="25.5">
      <c r="A1372" s="141">
        <v>76807</v>
      </c>
      <c r="B1372" s="141" t="s">
        <v>4325</v>
      </c>
      <c r="C1372" s="142">
        <v>41201</v>
      </c>
      <c r="D1372" s="141">
        <v>375</v>
      </c>
      <c r="E1372" s="141" t="str">
        <f t="shared" si="118"/>
        <v>001</v>
      </c>
      <c r="F1372" s="141" t="s">
        <v>4326</v>
      </c>
      <c r="G1372" s="141" t="str">
        <f>"1302"</f>
        <v>1302</v>
      </c>
      <c r="H1372" s="141" t="s">
        <v>2912</v>
      </c>
      <c r="I1372" s="141" t="str">
        <f t="shared" si="119"/>
        <v>999</v>
      </c>
      <c r="J1372" s="141" t="s">
        <v>4327</v>
      </c>
      <c r="K1372" s="141">
        <v>830</v>
      </c>
      <c r="L1372" s="141">
        <v>1</v>
      </c>
      <c r="M1372" s="141">
        <v>0</v>
      </c>
      <c r="N1372" s="141">
        <v>10000</v>
      </c>
      <c r="O1372" s="141" t="s">
        <v>4328</v>
      </c>
      <c r="P1372" s="141" t="s">
        <v>4750</v>
      </c>
    </row>
    <row r="1373" spans="1:16" ht="25.5">
      <c r="A1373" s="141">
        <v>76807</v>
      </c>
      <c r="B1373" s="141" t="s">
        <v>4325</v>
      </c>
      <c r="C1373" s="142">
        <v>41201</v>
      </c>
      <c r="D1373" s="141">
        <v>375</v>
      </c>
      <c r="E1373" s="141" t="str">
        <f t="shared" si="118"/>
        <v>001</v>
      </c>
      <c r="F1373" s="141" t="s">
        <v>4326</v>
      </c>
      <c r="G1373" s="141" t="str">
        <f>"1302"</f>
        <v>1302</v>
      </c>
      <c r="H1373" s="141" t="s">
        <v>2912</v>
      </c>
      <c r="I1373" s="141" t="str">
        <f t="shared" si="119"/>
        <v>999</v>
      </c>
      <c r="J1373" s="141" t="s">
        <v>4327</v>
      </c>
      <c r="K1373" s="141">
        <v>831</v>
      </c>
      <c r="L1373" s="141">
        <v>1</v>
      </c>
      <c r="M1373" s="141">
        <v>0</v>
      </c>
      <c r="N1373" s="141">
        <v>3000</v>
      </c>
      <c r="O1373" s="141" t="s">
        <v>4330</v>
      </c>
      <c r="P1373" s="141" t="s">
        <v>4331</v>
      </c>
    </row>
    <row r="1374" spans="1:16" ht="25.5">
      <c r="A1374" s="141">
        <v>76807</v>
      </c>
      <c r="B1374" s="141" t="s">
        <v>4325</v>
      </c>
      <c r="C1374" s="142">
        <v>41201</v>
      </c>
      <c r="D1374" s="141">
        <v>411</v>
      </c>
      <c r="E1374" s="141" t="str">
        <f t="shared" si="118"/>
        <v>001</v>
      </c>
      <c r="F1374" s="141" t="s">
        <v>4326</v>
      </c>
      <c r="G1374" s="141" t="str">
        <f>"1321"</f>
        <v>1321</v>
      </c>
      <c r="H1374" s="141" t="s">
        <v>741</v>
      </c>
      <c r="I1374" s="141" t="str">
        <f t="shared" si="119"/>
        <v>999</v>
      </c>
      <c r="J1374" s="141" t="s">
        <v>4327</v>
      </c>
      <c r="K1374" s="141">
        <v>1121</v>
      </c>
      <c r="L1374" s="141">
        <v>6</v>
      </c>
      <c r="M1374" s="141">
        <v>0</v>
      </c>
      <c r="N1374" s="141">
        <v>18000</v>
      </c>
      <c r="O1374" s="141" t="s">
        <v>4357</v>
      </c>
      <c r="P1374" s="141" t="s">
        <v>4340</v>
      </c>
    </row>
    <row r="1375" spans="1:16" ht="25.5">
      <c r="A1375" s="141">
        <v>76807</v>
      </c>
      <c r="B1375" s="141" t="s">
        <v>4325</v>
      </c>
      <c r="C1375" s="142">
        <v>41201</v>
      </c>
      <c r="D1375" s="141">
        <v>1274</v>
      </c>
      <c r="E1375" s="141" t="str">
        <f t="shared" si="118"/>
        <v>001</v>
      </c>
      <c r="F1375" s="141" t="s">
        <v>4326</v>
      </c>
      <c r="G1375" s="141" t="str">
        <f>"1329"</f>
        <v>1329</v>
      </c>
      <c r="H1375" s="141" t="s">
        <v>3674</v>
      </c>
      <c r="I1375" s="141" t="str">
        <f t="shared" si="119"/>
        <v>999</v>
      </c>
      <c r="J1375" s="141" t="s">
        <v>4327</v>
      </c>
      <c r="K1375" s="141">
        <v>3384</v>
      </c>
      <c r="L1375" s="141">
        <v>1</v>
      </c>
      <c r="M1375" s="141">
        <v>0</v>
      </c>
      <c r="N1375" s="141">
        <v>580000</v>
      </c>
      <c r="O1375" s="141" t="s">
        <v>4327</v>
      </c>
      <c r="P1375" s="141"/>
    </row>
    <row r="1376" spans="1:16" ht="25.5">
      <c r="A1376" s="141">
        <v>76807</v>
      </c>
      <c r="B1376" s="141" t="s">
        <v>4325</v>
      </c>
      <c r="C1376" s="142">
        <v>41201</v>
      </c>
      <c r="D1376" s="141">
        <v>758</v>
      </c>
      <c r="E1376" s="141" t="str">
        <f t="shared" si="118"/>
        <v>001</v>
      </c>
      <c r="F1376" s="141" t="s">
        <v>4326</v>
      </c>
      <c r="G1376" s="141" t="str">
        <f t="shared" ref="G1376:G1407" si="121">"1351"</f>
        <v>1351</v>
      </c>
      <c r="H1376" s="141" t="s">
        <v>973</v>
      </c>
      <c r="I1376" s="141" t="str">
        <f t="shared" si="119"/>
        <v>999</v>
      </c>
      <c r="J1376" s="141" t="s">
        <v>4327</v>
      </c>
      <c r="K1376" s="141">
        <v>2664</v>
      </c>
      <c r="L1376" s="141">
        <v>1</v>
      </c>
      <c r="M1376" s="141">
        <v>0</v>
      </c>
      <c r="N1376" s="141">
        <v>50000</v>
      </c>
      <c r="O1376" s="141" t="s">
        <v>4337</v>
      </c>
      <c r="P1376" s="141" t="s">
        <v>4751</v>
      </c>
    </row>
    <row r="1377" spans="1:16" ht="25.5">
      <c r="A1377" s="141">
        <v>76807</v>
      </c>
      <c r="B1377" s="141" t="s">
        <v>4325</v>
      </c>
      <c r="C1377" s="142">
        <v>41201</v>
      </c>
      <c r="D1377" s="141">
        <v>758</v>
      </c>
      <c r="E1377" s="141" t="str">
        <f t="shared" si="118"/>
        <v>001</v>
      </c>
      <c r="F1377" s="141" t="s">
        <v>4326</v>
      </c>
      <c r="G1377" s="141" t="str">
        <f t="shared" si="121"/>
        <v>1351</v>
      </c>
      <c r="H1377" s="141" t="s">
        <v>973</v>
      </c>
      <c r="I1377" s="141" t="str">
        <f t="shared" si="119"/>
        <v>999</v>
      </c>
      <c r="J1377" s="141" t="s">
        <v>4327</v>
      </c>
      <c r="K1377" s="141">
        <v>2665</v>
      </c>
      <c r="L1377" s="141">
        <v>1</v>
      </c>
      <c r="M1377" s="141">
        <v>0</v>
      </c>
      <c r="N1377" s="141">
        <v>49000</v>
      </c>
      <c r="O1377" s="141" t="s">
        <v>4388</v>
      </c>
      <c r="P1377" s="141" t="s">
        <v>4514</v>
      </c>
    </row>
    <row r="1378" spans="1:16" ht="25.5">
      <c r="A1378" s="141">
        <v>76807</v>
      </c>
      <c r="B1378" s="141" t="s">
        <v>4325</v>
      </c>
      <c r="C1378" s="142">
        <v>41201</v>
      </c>
      <c r="D1378" s="141">
        <v>758</v>
      </c>
      <c r="E1378" s="141" t="str">
        <f t="shared" si="118"/>
        <v>001</v>
      </c>
      <c r="F1378" s="141" t="s">
        <v>4326</v>
      </c>
      <c r="G1378" s="141" t="str">
        <f t="shared" si="121"/>
        <v>1351</v>
      </c>
      <c r="H1378" s="141" t="s">
        <v>973</v>
      </c>
      <c r="I1378" s="141" t="str">
        <f t="shared" si="119"/>
        <v>999</v>
      </c>
      <c r="J1378" s="141" t="s">
        <v>4327</v>
      </c>
      <c r="K1378" s="141">
        <v>2666</v>
      </c>
      <c r="L1378" s="141">
        <v>1</v>
      </c>
      <c r="M1378" s="141">
        <v>0</v>
      </c>
      <c r="N1378" s="141">
        <v>17000</v>
      </c>
      <c r="O1378" s="141" t="s">
        <v>4351</v>
      </c>
      <c r="P1378" s="141" t="s">
        <v>4543</v>
      </c>
    </row>
    <row r="1379" spans="1:16" ht="25.5">
      <c r="A1379" s="141">
        <v>76807</v>
      </c>
      <c r="B1379" s="141" t="s">
        <v>4325</v>
      </c>
      <c r="C1379" s="142">
        <v>41201</v>
      </c>
      <c r="D1379" s="141">
        <v>758</v>
      </c>
      <c r="E1379" s="141" t="str">
        <f t="shared" si="118"/>
        <v>001</v>
      </c>
      <c r="F1379" s="141" t="s">
        <v>4326</v>
      </c>
      <c r="G1379" s="141" t="str">
        <f t="shared" si="121"/>
        <v>1351</v>
      </c>
      <c r="H1379" s="141" t="s">
        <v>973</v>
      </c>
      <c r="I1379" s="141" t="str">
        <f t="shared" si="119"/>
        <v>999</v>
      </c>
      <c r="J1379" s="141" t="s">
        <v>4327</v>
      </c>
      <c r="K1379" s="141">
        <v>2667</v>
      </c>
      <c r="L1379" s="141">
        <v>1</v>
      </c>
      <c r="M1379" s="141">
        <v>0</v>
      </c>
      <c r="N1379" s="141">
        <v>4000</v>
      </c>
      <c r="O1379" s="141" t="s">
        <v>4330</v>
      </c>
      <c r="P1379" s="141" t="s">
        <v>4348</v>
      </c>
    </row>
    <row r="1380" spans="1:16" ht="25.5">
      <c r="A1380" s="141">
        <v>76807</v>
      </c>
      <c r="B1380" s="141" t="s">
        <v>4325</v>
      </c>
      <c r="C1380" s="142">
        <v>41201</v>
      </c>
      <c r="D1380" s="141">
        <v>758</v>
      </c>
      <c r="E1380" s="141" t="str">
        <f t="shared" si="118"/>
        <v>001</v>
      </c>
      <c r="F1380" s="141" t="s">
        <v>4326</v>
      </c>
      <c r="G1380" s="141" t="str">
        <f t="shared" si="121"/>
        <v>1351</v>
      </c>
      <c r="H1380" s="141" t="s">
        <v>973</v>
      </c>
      <c r="I1380" s="141" t="str">
        <f t="shared" si="119"/>
        <v>999</v>
      </c>
      <c r="J1380" s="141" t="s">
        <v>4327</v>
      </c>
      <c r="K1380" s="141">
        <v>2668</v>
      </c>
      <c r="L1380" s="141">
        <v>1</v>
      </c>
      <c r="M1380" s="141">
        <v>0</v>
      </c>
      <c r="N1380" s="141">
        <v>112000</v>
      </c>
      <c r="O1380" s="141" t="s">
        <v>4366</v>
      </c>
      <c r="P1380" s="141" t="s">
        <v>4367</v>
      </c>
    </row>
    <row r="1381" spans="1:16" ht="25.5">
      <c r="A1381" s="141">
        <v>76807</v>
      </c>
      <c r="B1381" s="141" t="s">
        <v>4325</v>
      </c>
      <c r="C1381" s="142">
        <v>41201</v>
      </c>
      <c r="D1381" s="141">
        <v>758</v>
      </c>
      <c r="E1381" s="141" t="str">
        <f t="shared" si="118"/>
        <v>001</v>
      </c>
      <c r="F1381" s="141" t="s">
        <v>4326</v>
      </c>
      <c r="G1381" s="141" t="str">
        <f t="shared" si="121"/>
        <v>1351</v>
      </c>
      <c r="H1381" s="141" t="s">
        <v>973</v>
      </c>
      <c r="I1381" s="141" t="str">
        <f t="shared" si="119"/>
        <v>999</v>
      </c>
      <c r="J1381" s="141" t="s">
        <v>4327</v>
      </c>
      <c r="K1381" s="141">
        <v>2669</v>
      </c>
      <c r="L1381" s="141">
        <v>1</v>
      </c>
      <c r="M1381" s="141">
        <v>0</v>
      </c>
      <c r="N1381" s="141">
        <v>63000</v>
      </c>
      <c r="O1381" s="141" t="s">
        <v>4353</v>
      </c>
      <c r="P1381" s="141" t="s">
        <v>4752</v>
      </c>
    </row>
    <row r="1382" spans="1:16" ht="25.5">
      <c r="A1382" s="141">
        <v>76807</v>
      </c>
      <c r="B1382" s="141" t="s">
        <v>4325</v>
      </c>
      <c r="C1382" s="142">
        <v>41201</v>
      </c>
      <c r="D1382" s="141">
        <v>758</v>
      </c>
      <c r="E1382" s="141" t="str">
        <f t="shared" si="118"/>
        <v>001</v>
      </c>
      <c r="F1382" s="141" t="s">
        <v>4326</v>
      </c>
      <c r="G1382" s="141" t="str">
        <f t="shared" si="121"/>
        <v>1351</v>
      </c>
      <c r="H1382" s="141" t="s">
        <v>973</v>
      </c>
      <c r="I1382" s="141" t="str">
        <f t="shared" si="119"/>
        <v>999</v>
      </c>
      <c r="J1382" s="141" t="s">
        <v>4327</v>
      </c>
      <c r="K1382" s="141">
        <v>2670</v>
      </c>
      <c r="L1382" s="141">
        <v>4</v>
      </c>
      <c r="M1382" s="141">
        <v>0</v>
      </c>
      <c r="N1382" s="141">
        <v>14000</v>
      </c>
      <c r="O1382" s="141" t="s">
        <v>4540</v>
      </c>
      <c r="P1382" s="141"/>
    </row>
    <row r="1383" spans="1:16" ht="25.5">
      <c r="A1383" s="141">
        <v>76807</v>
      </c>
      <c r="B1383" s="141" t="s">
        <v>4325</v>
      </c>
      <c r="C1383" s="142">
        <v>41201</v>
      </c>
      <c r="D1383" s="141">
        <v>758</v>
      </c>
      <c r="E1383" s="141" t="str">
        <f t="shared" si="118"/>
        <v>001</v>
      </c>
      <c r="F1383" s="141" t="s">
        <v>4326</v>
      </c>
      <c r="G1383" s="141" t="str">
        <f t="shared" si="121"/>
        <v>1351</v>
      </c>
      <c r="H1383" s="141" t="s">
        <v>973</v>
      </c>
      <c r="I1383" s="141" t="str">
        <f t="shared" si="119"/>
        <v>999</v>
      </c>
      <c r="J1383" s="141" t="s">
        <v>4327</v>
      </c>
      <c r="K1383" s="141">
        <v>2671</v>
      </c>
      <c r="L1383" s="141">
        <v>1</v>
      </c>
      <c r="M1383" s="141">
        <v>0</v>
      </c>
      <c r="N1383" s="141">
        <v>1000</v>
      </c>
      <c r="O1383" s="141" t="s">
        <v>4397</v>
      </c>
      <c r="P1383" s="141" t="s">
        <v>4753</v>
      </c>
    </row>
    <row r="1384" spans="1:16" ht="25.5">
      <c r="A1384" s="141">
        <v>76807</v>
      </c>
      <c r="B1384" s="141" t="s">
        <v>4325</v>
      </c>
      <c r="C1384" s="142">
        <v>41201</v>
      </c>
      <c r="D1384" s="141">
        <v>758</v>
      </c>
      <c r="E1384" s="141" t="str">
        <f t="shared" si="118"/>
        <v>001</v>
      </c>
      <c r="F1384" s="141" t="s">
        <v>4326</v>
      </c>
      <c r="G1384" s="141" t="str">
        <f t="shared" si="121"/>
        <v>1351</v>
      </c>
      <c r="H1384" s="141" t="s">
        <v>973</v>
      </c>
      <c r="I1384" s="141" t="str">
        <f t="shared" si="119"/>
        <v>999</v>
      </c>
      <c r="J1384" s="141" t="s">
        <v>4327</v>
      </c>
      <c r="K1384" s="141">
        <v>2672</v>
      </c>
      <c r="L1384" s="141">
        <v>1</v>
      </c>
      <c r="M1384" s="141">
        <v>0</v>
      </c>
      <c r="N1384" s="141">
        <v>2000</v>
      </c>
      <c r="O1384" s="141" t="s">
        <v>4364</v>
      </c>
      <c r="P1384" s="141" t="s">
        <v>4741</v>
      </c>
    </row>
    <row r="1385" spans="1:16" ht="25.5">
      <c r="A1385" s="141">
        <v>76807</v>
      </c>
      <c r="B1385" s="141" t="s">
        <v>4325</v>
      </c>
      <c r="C1385" s="142">
        <v>41201</v>
      </c>
      <c r="D1385" s="141">
        <v>758</v>
      </c>
      <c r="E1385" s="141" t="str">
        <f t="shared" si="118"/>
        <v>001</v>
      </c>
      <c r="F1385" s="141" t="s">
        <v>4326</v>
      </c>
      <c r="G1385" s="141" t="str">
        <f t="shared" si="121"/>
        <v>1351</v>
      </c>
      <c r="H1385" s="141" t="s">
        <v>973</v>
      </c>
      <c r="I1385" s="141" t="str">
        <f t="shared" si="119"/>
        <v>999</v>
      </c>
      <c r="J1385" s="141" t="s">
        <v>4327</v>
      </c>
      <c r="K1385" s="141">
        <v>2673</v>
      </c>
      <c r="L1385" s="141">
        <v>1</v>
      </c>
      <c r="M1385" s="141">
        <v>0</v>
      </c>
      <c r="N1385" s="141">
        <v>5000</v>
      </c>
      <c r="O1385" s="141" t="s">
        <v>4364</v>
      </c>
      <c r="P1385" s="141" t="s">
        <v>4754</v>
      </c>
    </row>
    <row r="1386" spans="1:16" ht="25.5">
      <c r="A1386" s="141">
        <v>76807</v>
      </c>
      <c r="B1386" s="141" t="s">
        <v>4325</v>
      </c>
      <c r="C1386" s="142">
        <v>41201</v>
      </c>
      <c r="D1386" s="141">
        <v>758</v>
      </c>
      <c r="E1386" s="141" t="str">
        <f t="shared" si="118"/>
        <v>001</v>
      </c>
      <c r="F1386" s="141" t="s">
        <v>4326</v>
      </c>
      <c r="G1386" s="141" t="str">
        <f t="shared" si="121"/>
        <v>1351</v>
      </c>
      <c r="H1386" s="141" t="s">
        <v>973</v>
      </c>
      <c r="I1386" s="141" t="str">
        <f t="shared" si="119"/>
        <v>999</v>
      </c>
      <c r="J1386" s="141" t="s">
        <v>4327</v>
      </c>
      <c r="K1386" s="141">
        <v>2674</v>
      </c>
      <c r="L1386" s="141">
        <v>1</v>
      </c>
      <c r="M1386" s="141">
        <v>0</v>
      </c>
      <c r="N1386" s="141">
        <v>2000</v>
      </c>
      <c r="O1386" s="141" t="s">
        <v>4592</v>
      </c>
      <c r="P1386" s="141"/>
    </row>
    <row r="1387" spans="1:16" ht="25.5">
      <c r="A1387" s="141">
        <v>76807</v>
      </c>
      <c r="B1387" s="141" t="s">
        <v>4325</v>
      </c>
      <c r="C1387" s="142">
        <v>41201</v>
      </c>
      <c r="D1387" s="141">
        <v>758</v>
      </c>
      <c r="E1387" s="141" t="str">
        <f t="shared" si="118"/>
        <v>001</v>
      </c>
      <c r="F1387" s="141" t="s">
        <v>4326</v>
      </c>
      <c r="G1387" s="141" t="str">
        <f t="shared" si="121"/>
        <v>1351</v>
      </c>
      <c r="H1387" s="141" t="s">
        <v>973</v>
      </c>
      <c r="I1387" s="141" t="str">
        <f t="shared" si="119"/>
        <v>999</v>
      </c>
      <c r="J1387" s="141" t="s">
        <v>4327</v>
      </c>
      <c r="K1387" s="141">
        <v>2675</v>
      </c>
      <c r="L1387" s="141">
        <v>2</v>
      </c>
      <c r="M1387" s="141">
        <v>0</v>
      </c>
      <c r="N1387" s="141">
        <v>11000</v>
      </c>
      <c r="O1387" s="141" t="s">
        <v>4357</v>
      </c>
      <c r="P1387" s="141" t="s">
        <v>4678</v>
      </c>
    </row>
    <row r="1388" spans="1:16" ht="25.5">
      <c r="A1388" s="141">
        <v>76807</v>
      </c>
      <c r="B1388" s="141" t="s">
        <v>4325</v>
      </c>
      <c r="C1388" s="142">
        <v>41201</v>
      </c>
      <c r="D1388" s="141">
        <v>758</v>
      </c>
      <c r="E1388" s="141" t="str">
        <f t="shared" si="118"/>
        <v>001</v>
      </c>
      <c r="F1388" s="141" t="s">
        <v>4326</v>
      </c>
      <c r="G1388" s="141" t="str">
        <f t="shared" si="121"/>
        <v>1351</v>
      </c>
      <c r="H1388" s="141" t="s">
        <v>973</v>
      </c>
      <c r="I1388" s="141" t="str">
        <f t="shared" si="119"/>
        <v>999</v>
      </c>
      <c r="J1388" s="141" t="s">
        <v>4327</v>
      </c>
      <c r="K1388" s="141">
        <v>2676</v>
      </c>
      <c r="L1388" s="141">
        <v>2</v>
      </c>
      <c r="M1388" s="141">
        <v>0</v>
      </c>
      <c r="N1388" s="141">
        <v>12000</v>
      </c>
      <c r="O1388" s="141" t="s">
        <v>4357</v>
      </c>
      <c r="P1388" s="141" t="s">
        <v>4551</v>
      </c>
    </row>
    <row r="1389" spans="1:16" ht="25.5">
      <c r="A1389" s="141">
        <v>76807</v>
      </c>
      <c r="B1389" s="141" t="s">
        <v>4325</v>
      </c>
      <c r="C1389" s="142">
        <v>41201</v>
      </c>
      <c r="D1389" s="141">
        <v>758</v>
      </c>
      <c r="E1389" s="141" t="str">
        <f t="shared" si="118"/>
        <v>001</v>
      </c>
      <c r="F1389" s="141" t="s">
        <v>4326</v>
      </c>
      <c r="G1389" s="141" t="str">
        <f t="shared" si="121"/>
        <v>1351</v>
      </c>
      <c r="H1389" s="141" t="s">
        <v>973</v>
      </c>
      <c r="I1389" s="141" t="str">
        <f t="shared" si="119"/>
        <v>999</v>
      </c>
      <c r="J1389" s="141" t="s">
        <v>4327</v>
      </c>
      <c r="K1389" s="141">
        <v>2677</v>
      </c>
      <c r="L1389" s="141">
        <v>1</v>
      </c>
      <c r="M1389" s="141">
        <v>0</v>
      </c>
      <c r="N1389" s="141">
        <v>8000</v>
      </c>
      <c r="O1389" s="141" t="s">
        <v>4357</v>
      </c>
      <c r="P1389" s="141" t="s">
        <v>4419</v>
      </c>
    </row>
    <row r="1390" spans="1:16" ht="25.5">
      <c r="A1390" s="141">
        <v>76807</v>
      </c>
      <c r="B1390" s="141" t="s">
        <v>4325</v>
      </c>
      <c r="C1390" s="142">
        <v>41201</v>
      </c>
      <c r="D1390" s="141">
        <v>758</v>
      </c>
      <c r="E1390" s="141" t="str">
        <f t="shared" si="118"/>
        <v>001</v>
      </c>
      <c r="F1390" s="141" t="s">
        <v>4326</v>
      </c>
      <c r="G1390" s="141" t="str">
        <f t="shared" si="121"/>
        <v>1351</v>
      </c>
      <c r="H1390" s="141" t="s">
        <v>973</v>
      </c>
      <c r="I1390" s="141" t="str">
        <f t="shared" si="119"/>
        <v>999</v>
      </c>
      <c r="J1390" s="141" t="s">
        <v>4327</v>
      </c>
      <c r="K1390" s="141">
        <v>2678</v>
      </c>
      <c r="L1390" s="141">
        <v>5</v>
      </c>
      <c r="M1390" s="141">
        <v>0</v>
      </c>
      <c r="N1390" s="141">
        <v>50000</v>
      </c>
      <c r="O1390" s="141" t="s">
        <v>4357</v>
      </c>
      <c r="P1390" s="141" t="s">
        <v>4734</v>
      </c>
    </row>
    <row r="1391" spans="1:16" ht="25.5">
      <c r="A1391" s="141">
        <v>76807</v>
      </c>
      <c r="B1391" s="141" t="s">
        <v>4325</v>
      </c>
      <c r="C1391" s="142">
        <v>41201</v>
      </c>
      <c r="D1391" s="141">
        <v>758</v>
      </c>
      <c r="E1391" s="141" t="str">
        <f t="shared" si="118"/>
        <v>001</v>
      </c>
      <c r="F1391" s="141" t="s">
        <v>4326</v>
      </c>
      <c r="G1391" s="141" t="str">
        <f t="shared" si="121"/>
        <v>1351</v>
      </c>
      <c r="H1391" s="141" t="s">
        <v>973</v>
      </c>
      <c r="I1391" s="141" t="str">
        <f t="shared" si="119"/>
        <v>999</v>
      </c>
      <c r="J1391" s="141" t="s">
        <v>4327</v>
      </c>
      <c r="K1391" s="141">
        <v>2679</v>
      </c>
      <c r="L1391" s="141">
        <v>2</v>
      </c>
      <c r="M1391" s="141">
        <v>0</v>
      </c>
      <c r="N1391" s="141">
        <v>21000</v>
      </c>
      <c r="O1391" s="141" t="s">
        <v>4357</v>
      </c>
      <c r="P1391" s="141" t="s">
        <v>4755</v>
      </c>
    </row>
    <row r="1392" spans="1:16" ht="25.5">
      <c r="A1392" s="141">
        <v>76807</v>
      </c>
      <c r="B1392" s="141" t="s">
        <v>4325</v>
      </c>
      <c r="C1392" s="142">
        <v>41201</v>
      </c>
      <c r="D1392" s="141">
        <v>758</v>
      </c>
      <c r="E1392" s="141" t="str">
        <f t="shared" si="118"/>
        <v>001</v>
      </c>
      <c r="F1392" s="141" t="s">
        <v>4326</v>
      </c>
      <c r="G1392" s="141" t="str">
        <f t="shared" si="121"/>
        <v>1351</v>
      </c>
      <c r="H1392" s="141" t="s">
        <v>973</v>
      </c>
      <c r="I1392" s="141" t="str">
        <f t="shared" si="119"/>
        <v>999</v>
      </c>
      <c r="J1392" s="141" t="s">
        <v>4327</v>
      </c>
      <c r="K1392" s="141">
        <v>2680</v>
      </c>
      <c r="L1392" s="141">
        <v>4</v>
      </c>
      <c r="M1392" s="141">
        <v>0</v>
      </c>
      <c r="N1392" s="141">
        <v>45000</v>
      </c>
      <c r="O1392" s="141" t="s">
        <v>4357</v>
      </c>
      <c r="P1392" s="141" t="s">
        <v>4391</v>
      </c>
    </row>
    <row r="1393" spans="1:16" ht="25.5">
      <c r="A1393" s="141">
        <v>76807</v>
      </c>
      <c r="B1393" s="141" t="s">
        <v>4325</v>
      </c>
      <c r="C1393" s="142">
        <v>41201</v>
      </c>
      <c r="D1393" s="141">
        <v>758</v>
      </c>
      <c r="E1393" s="141" t="str">
        <f t="shared" si="118"/>
        <v>001</v>
      </c>
      <c r="F1393" s="141" t="s">
        <v>4326</v>
      </c>
      <c r="G1393" s="141" t="str">
        <f t="shared" si="121"/>
        <v>1351</v>
      </c>
      <c r="H1393" s="141" t="s">
        <v>973</v>
      </c>
      <c r="I1393" s="141" t="str">
        <f t="shared" si="119"/>
        <v>999</v>
      </c>
      <c r="J1393" s="141" t="s">
        <v>4327</v>
      </c>
      <c r="K1393" s="141">
        <v>2681</v>
      </c>
      <c r="L1393" s="141">
        <v>1</v>
      </c>
      <c r="M1393" s="141">
        <v>0</v>
      </c>
      <c r="N1393" s="141">
        <v>14000</v>
      </c>
      <c r="O1393" s="141" t="s">
        <v>4357</v>
      </c>
      <c r="P1393" s="141" t="s">
        <v>4735</v>
      </c>
    </row>
    <row r="1394" spans="1:16" ht="25.5">
      <c r="A1394" s="141">
        <v>76807</v>
      </c>
      <c r="B1394" s="141" t="s">
        <v>4325</v>
      </c>
      <c r="C1394" s="142">
        <v>41201</v>
      </c>
      <c r="D1394" s="141">
        <v>758</v>
      </c>
      <c r="E1394" s="141" t="str">
        <f t="shared" si="118"/>
        <v>001</v>
      </c>
      <c r="F1394" s="141" t="s">
        <v>4326</v>
      </c>
      <c r="G1394" s="141" t="str">
        <f t="shared" si="121"/>
        <v>1351</v>
      </c>
      <c r="H1394" s="141" t="s">
        <v>973</v>
      </c>
      <c r="I1394" s="141" t="str">
        <f t="shared" si="119"/>
        <v>999</v>
      </c>
      <c r="J1394" s="141" t="s">
        <v>4327</v>
      </c>
      <c r="K1394" s="141">
        <v>2682</v>
      </c>
      <c r="L1394" s="141">
        <v>2</v>
      </c>
      <c r="M1394" s="141">
        <v>0</v>
      </c>
      <c r="N1394" s="141">
        <v>31000</v>
      </c>
      <c r="O1394" s="141" t="s">
        <v>4357</v>
      </c>
      <c r="P1394" s="141" t="s">
        <v>4756</v>
      </c>
    </row>
    <row r="1395" spans="1:16" ht="25.5">
      <c r="A1395" s="141">
        <v>76807</v>
      </c>
      <c r="B1395" s="141" t="s">
        <v>4325</v>
      </c>
      <c r="C1395" s="142">
        <v>41201</v>
      </c>
      <c r="D1395" s="141">
        <v>758</v>
      </c>
      <c r="E1395" s="141" t="str">
        <f t="shared" si="118"/>
        <v>001</v>
      </c>
      <c r="F1395" s="141" t="s">
        <v>4326</v>
      </c>
      <c r="G1395" s="141" t="str">
        <f t="shared" si="121"/>
        <v>1351</v>
      </c>
      <c r="H1395" s="141" t="s">
        <v>973</v>
      </c>
      <c r="I1395" s="141" t="str">
        <f t="shared" si="119"/>
        <v>999</v>
      </c>
      <c r="J1395" s="141" t="s">
        <v>4327</v>
      </c>
      <c r="K1395" s="141">
        <v>2683</v>
      </c>
      <c r="L1395" s="141">
        <v>1</v>
      </c>
      <c r="M1395" s="141">
        <v>0</v>
      </c>
      <c r="N1395" s="141">
        <v>42000</v>
      </c>
      <c r="O1395" s="141" t="s">
        <v>4368</v>
      </c>
      <c r="P1395" s="141"/>
    </row>
    <row r="1396" spans="1:16" ht="25.5">
      <c r="A1396" s="141">
        <v>76807</v>
      </c>
      <c r="B1396" s="141" t="s">
        <v>4325</v>
      </c>
      <c r="C1396" s="142">
        <v>41201</v>
      </c>
      <c r="D1396" s="141">
        <v>758</v>
      </c>
      <c r="E1396" s="141" t="str">
        <f t="shared" si="118"/>
        <v>001</v>
      </c>
      <c r="F1396" s="141" t="s">
        <v>4326</v>
      </c>
      <c r="G1396" s="141" t="str">
        <f t="shared" si="121"/>
        <v>1351</v>
      </c>
      <c r="H1396" s="141" t="s">
        <v>973</v>
      </c>
      <c r="I1396" s="141" t="str">
        <f t="shared" si="119"/>
        <v>999</v>
      </c>
      <c r="J1396" s="141" t="s">
        <v>4327</v>
      </c>
      <c r="K1396" s="141">
        <v>2684</v>
      </c>
      <c r="L1396" s="141">
        <v>1</v>
      </c>
      <c r="M1396" s="141">
        <v>0</v>
      </c>
      <c r="N1396" s="141">
        <v>3000</v>
      </c>
      <c r="O1396" s="141" t="s">
        <v>4369</v>
      </c>
      <c r="P1396" s="141" t="s">
        <v>4481</v>
      </c>
    </row>
    <row r="1397" spans="1:16" ht="25.5">
      <c r="A1397" s="141">
        <v>76807</v>
      </c>
      <c r="B1397" s="141" t="s">
        <v>4325</v>
      </c>
      <c r="C1397" s="142">
        <v>41201</v>
      </c>
      <c r="D1397" s="141">
        <v>758</v>
      </c>
      <c r="E1397" s="141" t="str">
        <f t="shared" si="118"/>
        <v>001</v>
      </c>
      <c r="F1397" s="141" t="s">
        <v>4326</v>
      </c>
      <c r="G1397" s="141" t="str">
        <f t="shared" si="121"/>
        <v>1351</v>
      </c>
      <c r="H1397" s="141" t="s">
        <v>973</v>
      </c>
      <c r="I1397" s="141" t="str">
        <f t="shared" si="119"/>
        <v>999</v>
      </c>
      <c r="J1397" s="141" t="s">
        <v>4327</v>
      </c>
      <c r="K1397" s="141">
        <v>2685</v>
      </c>
      <c r="L1397" s="141">
        <v>5</v>
      </c>
      <c r="M1397" s="141">
        <v>0</v>
      </c>
      <c r="N1397" s="141">
        <v>4000</v>
      </c>
      <c r="O1397" s="141" t="s">
        <v>4343</v>
      </c>
      <c r="P1397" s="141"/>
    </row>
    <row r="1398" spans="1:16" ht="25.5">
      <c r="A1398" s="141">
        <v>76807</v>
      </c>
      <c r="B1398" s="141" t="s">
        <v>4325</v>
      </c>
      <c r="C1398" s="142">
        <v>41201</v>
      </c>
      <c r="D1398" s="141">
        <v>758</v>
      </c>
      <c r="E1398" s="141" t="str">
        <f t="shared" si="118"/>
        <v>001</v>
      </c>
      <c r="F1398" s="141" t="s">
        <v>4326</v>
      </c>
      <c r="G1398" s="141" t="str">
        <f t="shared" si="121"/>
        <v>1351</v>
      </c>
      <c r="H1398" s="141" t="s">
        <v>973</v>
      </c>
      <c r="I1398" s="141" t="str">
        <f t="shared" si="119"/>
        <v>999</v>
      </c>
      <c r="J1398" s="141" t="s">
        <v>4327</v>
      </c>
      <c r="K1398" s="141">
        <v>2686</v>
      </c>
      <c r="L1398" s="141">
        <v>1</v>
      </c>
      <c r="M1398" s="141">
        <v>0</v>
      </c>
      <c r="N1398" s="141">
        <v>1000</v>
      </c>
      <c r="O1398" s="141" t="s">
        <v>4350</v>
      </c>
      <c r="P1398" s="141"/>
    </row>
    <row r="1399" spans="1:16" ht="25.5">
      <c r="A1399" s="141">
        <v>76807</v>
      </c>
      <c r="B1399" s="141" t="s">
        <v>4325</v>
      </c>
      <c r="C1399" s="142">
        <v>41201</v>
      </c>
      <c r="D1399" s="141">
        <v>758</v>
      </c>
      <c r="E1399" s="141" t="str">
        <f t="shared" si="118"/>
        <v>001</v>
      </c>
      <c r="F1399" s="141" t="s">
        <v>4326</v>
      </c>
      <c r="G1399" s="141" t="str">
        <f t="shared" si="121"/>
        <v>1351</v>
      </c>
      <c r="H1399" s="141" t="s">
        <v>973</v>
      </c>
      <c r="I1399" s="141" t="str">
        <f t="shared" si="119"/>
        <v>999</v>
      </c>
      <c r="J1399" s="141" t="s">
        <v>4327</v>
      </c>
      <c r="K1399" s="141">
        <v>2687</v>
      </c>
      <c r="L1399" s="141">
        <v>3</v>
      </c>
      <c r="M1399" s="141">
        <v>0</v>
      </c>
      <c r="N1399" s="141">
        <v>13000</v>
      </c>
      <c r="O1399" s="141" t="s">
        <v>4406</v>
      </c>
      <c r="P1399" s="141"/>
    </row>
    <row r="1400" spans="1:16" ht="25.5">
      <c r="A1400" s="141">
        <v>76807</v>
      </c>
      <c r="B1400" s="141" t="s">
        <v>4325</v>
      </c>
      <c r="C1400" s="142">
        <v>41201</v>
      </c>
      <c r="D1400" s="141">
        <v>758</v>
      </c>
      <c r="E1400" s="141" t="str">
        <f t="shared" si="118"/>
        <v>001</v>
      </c>
      <c r="F1400" s="141" t="s">
        <v>4326</v>
      </c>
      <c r="G1400" s="141" t="str">
        <f t="shared" si="121"/>
        <v>1351</v>
      </c>
      <c r="H1400" s="141" t="s">
        <v>973</v>
      </c>
      <c r="I1400" s="141" t="str">
        <f t="shared" si="119"/>
        <v>999</v>
      </c>
      <c r="J1400" s="141" t="s">
        <v>4327</v>
      </c>
      <c r="K1400" s="141">
        <v>2688</v>
      </c>
      <c r="L1400" s="141">
        <v>1</v>
      </c>
      <c r="M1400" s="141">
        <v>0</v>
      </c>
      <c r="N1400" s="141">
        <v>3000</v>
      </c>
      <c r="O1400" s="141" t="s">
        <v>4405</v>
      </c>
      <c r="P1400" s="141" t="s">
        <v>4372</v>
      </c>
    </row>
    <row r="1401" spans="1:16" ht="25.5">
      <c r="A1401" s="141">
        <v>76807</v>
      </c>
      <c r="B1401" s="141" t="s">
        <v>4325</v>
      </c>
      <c r="C1401" s="142">
        <v>41201</v>
      </c>
      <c r="D1401" s="141">
        <v>758</v>
      </c>
      <c r="E1401" s="141" t="str">
        <f t="shared" si="118"/>
        <v>001</v>
      </c>
      <c r="F1401" s="141" t="s">
        <v>4326</v>
      </c>
      <c r="G1401" s="141" t="str">
        <f t="shared" si="121"/>
        <v>1351</v>
      </c>
      <c r="H1401" s="141" t="s">
        <v>973</v>
      </c>
      <c r="I1401" s="141" t="str">
        <f t="shared" si="119"/>
        <v>999</v>
      </c>
      <c r="J1401" s="141" t="s">
        <v>4327</v>
      </c>
      <c r="K1401" s="141">
        <v>2689</v>
      </c>
      <c r="L1401" s="141">
        <v>1</v>
      </c>
      <c r="M1401" s="141">
        <v>0</v>
      </c>
      <c r="N1401" s="141">
        <v>3000</v>
      </c>
      <c r="O1401" s="141" t="s">
        <v>4405</v>
      </c>
      <c r="P1401" s="141" t="s">
        <v>4372</v>
      </c>
    </row>
    <row r="1402" spans="1:16" ht="25.5">
      <c r="A1402" s="141">
        <v>76807</v>
      </c>
      <c r="B1402" s="141" t="s">
        <v>4325</v>
      </c>
      <c r="C1402" s="142">
        <v>41201</v>
      </c>
      <c r="D1402" s="141">
        <v>758</v>
      </c>
      <c r="E1402" s="141" t="str">
        <f t="shared" si="118"/>
        <v>001</v>
      </c>
      <c r="F1402" s="141" t="s">
        <v>4326</v>
      </c>
      <c r="G1402" s="141" t="str">
        <f t="shared" si="121"/>
        <v>1351</v>
      </c>
      <c r="H1402" s="141" t="s">
        <v>973</v>
      </c>
      <c r="I1402" s="141" t="str">
        <f t="shared" si="119"/>
        <v>999</v>
      </c>
      <c r="J1402" s="141" t="s">
        <v>4327</v>
      </c>
      <c r="K1402" s="141">
        <v>2690</v>
      </c>
      <c r="L1402" s="141">
        <v>1</v>
      </c>
      <c r="M1402" s="141">
        <v>0</v>
      </c>
      <c r="N1402" s="141">
        <v>3000</v>
      </c>
      <c r="O1402" s="141" t="s">
        <v>4405</v>
      </c>
      <c r="P1402" s="141" t="s">
        <v>4372</v>
      </c>
    </row>
    <row r="1403" spans="1:16" ht="25.5">
      <c r="A1403" s="141">
        <v>76807</v>
      </c>
      <c r="B1403" s="141" t="s">
        <v>4325</v>
      </c>
      <c r="C1403" s="142">
        <v>41201</v>
      </c>
      <c r="D1403" s="141">
        <v>758</v>
      </c>
      <c r="E1403" s="141" t="str">
        <f t="shared" si="118"/>
        <v>001</v>
      </c>
      <c r="F1403" s="141" t="s">
        <v>4326</v>
      </c>
      <c r="G1403" s="141" t="str">
        <f t="shared" si="121"/>
        <v>1351</v>
      </c>
      <c r="H1403" s="141" t="s">
        <v>973</v>
      </c>
      <c r="I1403" s="141" t="str">
        <f t="shared" si="119"/>
        <v>999</v>
      </c>
      <c r="J1403" s="141" t="s">
        <v>4327</v>
      </c>
      <c r="K1403" s="141">
        <v>2691</v>
      </c>
      <c r="L1403" s="141">
        <v>1</v>
      </c>
      <c r="M1403" s="141">
        <v>0</v>
      </c>
      <c r="N1403" s="141">
        <v>3000</v>
      </c>
      <c r="O1403" s="141" t="s">
        <v>4405</v>
      </c>
      <c r="P1403" s="141" t="s">
        <v>4372</v>
      </c>
    </row>
    <row r="1404" spans="1:16" ht="25.5">
      <c r="A1404" s="141">
        <v>76807</v>
      </c>
      <c r="B1404" s="141" t="s">
        <v>4325</v>
      </c>
      <c r="C1404" s="142">
        <v>41201</v>
      </c>
      <c r="D1404" s="141">
        <v>758</v>
      </c>
      <c r="E1404" s="141" t="str">
        <f t="shared" si="118"/>
        <v>001</v>
      </c>
      <c r="F1404" s="141" t="s">
        <v>4326</v>
      </c>
      <c r="G1404" s="141" t="str">
        <f t="shared" si="121"/>
        <v>1351</v>
      </c>
      <c r="H1404" s="141" t="s">
        <v>973</v>
      </c>
      <c r="I1404" s="141" t="str">
        <f t="shared" si="119"/>
        <v>999</v>
      </c>
      <c r="J1404" s="141" t="s">
        <v>4327</v>
      </c>
      <c r="K1404" s="141">
        <v>2692</v>
      </c>
      <c r="L1404" s="141">
        <v>1</v>
      </c>
      <c r="M1404" s="141">
        <v>0</v>
      </c>
      <c r="N1404" s="141">
        <v>3000</v>
      </c>
      <c r="O1404" s="141" t="s">
        <v>4405</v>
      </c>
      <c r="P1404" s="141" t="s">
        <v>4372</v>
      </c>
    </row>
    <row r="1405" spans="1:16" ht="25.5">
      <c r="A1405" s="141">
        <v>76807</v>
      </c>
      <c r="B1405" s="141" t="s">
        <v>4325</v>
      </c>
      <c r="C1405" s="142">
        <v>41201</v>
      </c>
      <c r="D1405" s="141">
        <v>758</v>
      </c>
      <c r="E1405" s="141" t="str">
        <f t="shared" si="118"/>
        <v>001</v>
      </c>
      <c r="F1405" s="141" t="s">
        <v>4326</v>
      </c>
      <c r="G1405" s="141" t="str">
        <f t="shared" si="121"/>
        <v>1351</v>
      </c>
      <c r="H1405" s="141" t="s">
        <v>973</v>
      </c>
      <c r="I1405" s="141" t="str">
        <f t="shared" si="119"/>
        <v>999</v>
      </c>
      <c r="J1405" s="141" t="s">
        <v>4327</v>
      </c>
      <c r="K1405" s="141">
        <v>2693</v>
      </c>
      <c r="L1405" s="141">
        <v>1</v>
      </c>
      <c r="M1405" s="141">
        <v>0</v>
      </c>
      <c r="N1405" s="141">
        <v>4000</v>
      </c>
      <c r="O1405" s="141" t="s">
        <v>4371</v>
      </c>
      <c r="P1405" s="141" t="s">
        <v>4372</v>
      </c>
    </row>
    <row r="1406" spans="1:16" ht="25.5">
      <c r="A1406" s="141">
        <v>76807</v>
      </c>
      <c r="B1406" s="141" t="s">
        <v>4325</v>
      </c>
      <c r="C1406" s="142">
        <v>41201</v>
      </c>
      <c r="D1406" s="141">
        <v>758</v>
      </c>
      <c r="E1406" s="141" t="str">
        <f t="shared" si="118"/>
        <v>001</v>
      </c>
      <c r="F1406" s="141" t="s">
        <v>4326</v>
      </c>
      <c r="G1406" s="141" t="str">
        <f t="shared" si="121"/>
        <v>1351</v>
      </c>
      <c r="H1406" s="141" t="s">
        <v>973</v>
      </c>
      <c r="I1406" s="141" t="str">
        <f t="shared" si="119"/>
        <v>999</v>
      </c>
      <c r="J1406" s="141" t="s">
        <v>4327</v>
      </c>
      <c r="K1406" s="141">
        <v>2694</v>
      </c>
      <c r="L1406" s="141">
        <v>1</v>
      </c>
      <c r="M1406" s="141">
        <v>0</v>
      </c>
      <c r="N1406" s="141">
        <v>4000</v>
      </c>
      <c r="O1406" s="141" t="s">
        <v>4371</v>
      </c>
      <c r="P1406" s="141" t="s">
        <v>4372</v>
      </c>
    </row>
    <row r="1407" spans="1:16" ht="25.5">
      <c r="A1407" s="141">
        <v>76807</v>
      </c>
      <c r="B1407" s="141" t="s">
        <v>4325</v>
      </c>
      <c r="C1407" s="142">
        <v>41201</v>
      </c>
      <c r="D1407" s="141">
        <v>758</v>
      </c>
      <c r="E1407" s="141" t="str">
        <f t="shared" si="118"/>
        <v>001</v>
      </c>
      <c r="F1407" s="141" t="s">
        <v>4326</v>
      </c>
      <c r="G1407" s="141" t="str">
        <f t="shared" si="121"/>
        <v>1351</v>
      </c>
      <c r="H1407" s="141" t="s">
        <v>973</v>
      </c>
      <c r="I1407" s="141" t="str">
        <f t="shared" si="119"/>
        <v>999</v>
      </c>
      <c r="J1407" s="141" t="s">
        <v>4327</v>
      </c>
      <c r="K1407" s="141">
        <v>2695</v>
      </c>
      <c r="L1407" s="141">
        <v>1</v>
      </c>
      <c r="M1407" s="141">
        <v>0</v>
      </c>
      <c r="N1407" s="141">
        <v>4000</v>
      </c>
      <c r="O1407" s="141" t="s">
        <v>4371</v>
      </c>
      <c r="P1407" s="141" t="s">
        <v>4372</v>
      </c>
    </row>
    <row r="1408" spans="1:16" ht="25.5">
      <c r="A1408" s="141">
        <v>76807</v>
      </c>
      <c r="B1408" s="141" t="s">
        <v>4325</v>
      </c>
      <c r="C1408" s="142">
        <v>41201</v>
      </c>
      <c r="D1408" s="141">
        <v>1153</v>
      </c>
      <c r="E1408" s="141" t="str">
        <f t="shared" si="118"/>
        <v>001</v>
      </c>
      <c r="F1408" s="141" t="s">
        <v>4326</v>
      </c>
      <c r="G1408" s="141" t="str">
        <f>"1371"</f>
        <v>1371</v>
      </c>
      <c r="H1408" s="141" t="s">
        <v>2342</v>
      </c>
      <c r="I1408" s="141" t="str">
        <f t="shared" si="119"/>
        <v>999</v>
      </c>
      <c r="J1408" s="141" t="s">
        <v>4327</v>
      </c>
      <c r="K1408" s="141">
        <v>2935</v>
      </c>
      <c r="L1408" s="141">
        <v>1</v>
      </c>
      <c r="M1408" s="141">
        <v>0</v>
      </c>
      <c r="N1408" s="141">
        <v>23000</v>
      </c>
      <c r="O1408" s="141" t="s">
        <v>4328</v>
      </c>
      <c r="P1408" s="141" t="s">
        <v>4757</v>
      </c>
    </row>
    <row r="1409" spans="1:16" ht="25.5">
      <c r="A1409" s="141">
        <v>76807</v>
      </c>
      <c r="B1409" s="141" t="s">
        <v>4325</v>
      </c>
      <c r="C1409" s="142">
        <v>41201</v>
      </c>
      <c r="D1409" s="141">
        <v>1153</v>
      </c>
      <c r="E1409" s="141" t="str">
        <f t="shared" si="118"/>
        <v>001</v>
      </c>
      <c r="F1409" s="141" t="s">
        <v>4326</v>
      </c>
      <c r="G1409" s="141" t="str">
        <f>"1371"</f>
        <v>1371</v>
      </c>
      <c r="H1409" s="141" t="s">
        <v>2342</v>
      </c>
      <c r="I1409" s="141" t="str">
        <f t="shared" si="119"/>
        <v>999</v>
      </c>
      <c r="J1409" s="141" t="s">
        <v>4327</v>
      </c>
      <c r="K1409" s="141">
        <v>2936</v>
      </c>
      <c r="L1409" s="141">
        <v>1</v>
      </c>
      <c r="M1409" s="141">
        <v>0</v>
      </c>
      <c r="N1409" s="141">
        <v>3000</v>
      </c>
      <c r="O1409" s="141" t="s">
        <v>4330</v>
      </c>
      <c r="P1409" s="141" t="s">
        <v>4331</v>
      </c>
    </row>
    <row r="1410" spans="1:16" ht="25.5">
      <c r="A1410" s="141">
        <v>76807</v>
      </c>
      <c r="B1410" s="141" t="s">
        <v>4325</v>
      </c>
      <c r="C1410" s="142">
        <v>41201</v>
      </c>
      <c r="D1410" s="141">
        <v>1153</v>
      </c>
      <c r="E1410" s="141" t="str">
        <f t="shared" ref="E1410:E1473" si="122">"001"</f>
        <v>001</v>
      </c>
      <c r="F1410" s="141" t="s">
        <v>4326</v>
      </c>
      <c r="G1410" s="141" t="str">
        <f>"1371"</f>
        <v>1371</v>
      </c>
      <c r="H1410" s="141" t="s">
        <v>2342</v>
      </c>
      <c r="I1410" s="141" t="str">
        <f t="shared" ref="I1410:I1473" si="123">"999"</f>
        <v>999</v>
      </c>
      <c r="J1410" s="141" t="s">
        <v>4327</v>
      </c>
      <c r="K1410" s="141">
        <v>2951</v>
      </c>
      <c r="L1410" s="141">
        <v>18</v>
      </c>
      <c r="M1410" s="141">
        <v>0</v>
      </c>
      <c r="N1410" s="141">
        <v>41000</v>
      </c>
      <c r="O1410" s="141" t="s">
        <v>4334</v>
      </c>
      <c r="P1410" s="141" t="s">
        <v>4340</v>
      </c>
    </row>
    <row r="1411" spans="1:16" ht="25.5">
      <c r="A1411" s="141">
        <v>76807</v>
      </c>
      <c r="B1411" s="141" t="s">
        <v>4325</v>
      </c>
      <c r="C1411" s="142">
        <v>41201</v>
      </c>
      <c r="D1411" s="141">
        <v>734</v>
      </c>
      <c r="E1411" s="141" t="str">
        <f t="shared" si="122"/>
        <v>001</v>
      </c>
      <c r="F1411" s="141" t="s">
        <v>4326</v>
      </c>
      <c r="G1411" s="141" t="str">
        <f>"1395"</f>
        <v>1395</v>
      </c>
      <c r="H1411" s="141" t="s">
        <v>993</v>
      </c>
      <c r="I1411" s="141" t="str">
        <f t="shared" si="123"/>
        <v>999</v>
      </c>
      <c r="J1411" s="141" t="s">
        <v>4327</v>
      </c>
      <c r="K1411" s="141">
        <v>2310</v>
      </c>
      <c r="L1411" s="141">
        <v>1</v>
      </c>
      <c r="M1411" s="141">
        <v>0</v>
      </c>
      <c r="N1411" s="141">
        <v>4000</v>
      </c>
      <c r="O1411" s="141" t="s">
        <v>4397</v>
      </c>
      <c r="P1411" s="141" t="s">
        <v>4398</v>
      </c>
    </row>
    <row r="1412" spans="1:16" ht="25.5">
      <c r="A1412" s="141">
        <v>76807</v>
      </c>
      <c r="B1412" s="141" t="s">
        <v>4325</v>
      </c>
      <c r="C1412" s="142">
        <v>41201</v>
      </c>
      <c r="D1412" s="141">
        <v>734</v>
      </c>
      <c r="E1412" s="141" t="str">
        <f t="shared" si="122"/>
        <v>001</v>
      </c>
      <c r="F1412" s="141" t="s">
        <v>4326</v>
      </c>
      <c r="G1412" s="141" t="str">
        <f>"1395"</f>
        <v>1395</v>
      </c>
      <c r="H1412" s="141" t="s">
        <v>993</v>
      </c>
      <c r="I1412" s="141" t="str">
        <f t="shared" si="123"/>
        <v>999</v>
      </c>
      <c r="J1412" s="141" t="s">
        <v>4327</v>
      </c>
      <c r="K1412" s="141">
        <v>2311</v>
      </c>
      <c r="L1412" s="141">
        <v>1</v>
      </c>
      <c r="M1412" s="141">
        <v>0</v>
      </c>
      <c r="N1412" s="141">
        <v>4000</v>
      </c>
      <c r="O1412" s="141" t="s">
        <v>4330</v>
      </c>
      <c r="P1412" s="141" t="s">
        <v>4348</v>
      </c>
    </row>
    <row r="1413" spans="1:16" ht="25.5">
      <c r="A1413" s="141">
        <v>76807</v>
      </c>
      <c r="B1413" s="141" t="s">
        <v>4325</v>
      </c>
      <c r="C1413" s="142">
        <v>41201</v>
      </c>
      <c r="D1413" s="141">
        <v>734</v>
      </c>
      <c r="E1413" s="141" t="str">
        <f t="shared" si="122"/>
        <v>001</v>
      </c>
      <c r="F1413" s="141" t="s">
        <v>4326</v>
      </c>
      <c r="G1413" s="141" t="str">
        <f>"1395"</f>
        <v>1395</v>
      </c>
      <c r="H1413" s="141" t="s">
        <v>993</v>
      </c>
      <c r="I1413" s="141" t="str">
        <f t="shared" si="123"/>
        <v>999</v>
      </c>
      <c r="J1413" s="141" t="s">
        <v>4327</v>
      </c>
      <c r="K1413" s="141">
        <v>2312</v>
      </c>
      <c r="L1413" s="141">
        <v>5</v>
      </c>
      <c r="M1413" s="141">
        <v>0</v>
      </c>
      <c r="N1413" s="141">
        <v>11000</v>
      </c>
      <c r="O1413" s="141" t="s">
        <v>4334</v>
      </c>
      <c r="P1413" s="141" t="s">
        <v>4340</v>
      </c>
    </row>
    <row r="1414" spans="1:16" ht="25.5">
      <c r="A1414" s="141">
        <v>76807</v>
      </c>
      <c r="B1414" s="141" t="s">
        <v>4325</v>
      </c>
      <c r="C1414" s="142">
        <v>41201</v>
      </c>
      <c r="D1414" s="141">
        <v>734</v>
      </c>
      <c r="E1414" s="141" t="str">
        <f t="shared" si="122"/>
        <v>001</v>
      </c>
      <c r="F1414" s="141" t="s">
        <v>4326</v>
      </c>
      <c r="G1414" s="141" t="str">
        <f>"1395"</f>
        <v>1395</v>
      </c>
      <c r="H1414" s="141" t="s">
        <v>993</v>
      </c>
      <c r="I1414" s="141" t="str">
        <f t="shared" si="123"/>
        <v>999</v>
      </c>
      <c r="J1414" s="141" t="s">
        <v>4327</v>
      </c>
      <c r="K1414" s="141">
        <v>2313</v>
      </c>
      <c r="L1414" s="141">
        <v>1</v>
      </c>
      <c r="M1414" s="141">
        <v>0</v>
      </c>
      <c r="N1414" s="141">
        <v>6000</v>
      </c>
      <c r="O1414" s="141" t="s">
        <v>4337</v>
      </c>
      <c r="P1414" s="141" t="s">
        <v>4707</v>
      </c>
    </row>
    <row r="1415" spans="1:16" ht="25.5">
      <c r="A1415" s="141">
        <v>76807</v>
      </c>
      <c r="B1415" s="141" t="s">
        <v>4325</v>
      </c>
      <c r="C1415" s="142">
        <v>41201</v>
      </c>
      <c r="D1415" s="141">
        <v>734</v>
      </c>
      <c r="E1415" s="141" t="str">
        <f t="shared" si="122"/>
        <v>001</v>
      </c>
      <c r="F1415" s="141" t="s">
        <v>4326</v>
      </c>
      <c r="G1415" s="141" t="str">
        <f>"1395"</f>
        <v>1395</v>
      </c>
      <c r="H1415" s="141" t="s">
        <v>993</v>
      </c>
      <c r="I1415" s="141" t="str">
        <f t="shared" si="123"/>
        <v>999</v>
      </c>
      <c r="J1415" s="141" t="s">
        <v>4327</v>
      </c>
      <c r="K1415" s="141">
        <v>2314</v>
      </c>
      <c r="L1415" s="141">
        <v>1</v>
      </c>
      <c r="M1415" s="141">
        <v>0</v>
      </c>
      <c r="N1415" s="141">
        <v>1000</v>
      </c>
      <c r="O1415" s="141" t="s">
        <v>4350</v>
      </c>
      <c r="P1415" s="141"/>
    </row>
    <row r="1416" spans="1:16" ht="25.5">
      <c r="A1416" s="141">
        <v>76807</v>
      </c>
      <c r="B1416" s="141" t="s">
        <v>4325</v>
      </c>
      <c r="C1416" s="142">
        <v>41201</v>
      </c>
      <c r="D1416" s="141">
        <v>1143</v>
      </c>
      <c r="E1416" s="141" t="str">
        <f t="shared" si="122"/>
        <v>001</v>
      </c>
      <c r="F1416" s="141" t="s">
        <v>4326</v>
      </c>
      <c r="G1416" s="141" t="str">
        <f>"1396"</f>
        <v>1396</v>
      </c>
      <c r="H1416" s="141" t="s">
        <v>2359</v>
      </c>
      <c r="I1416" s="141" t="str">
        <f t="shared" si="123"/>
        <v>999</v>
      </c>
      <c r="J1416" s="141" t="s">
        <v>4327</v>
      </c>
      <c r="K1416" s="141">
        <v>2904</v>
      </c>
      <c r="L1416" s="141">
        <v>1</v>
      </c>
      <c r="M1416" s="141">
        <v>0</v>
      </c>
      <c r="N1416" s="141">
        <v>3000</v>
      </c>
      <c r="O1416" s="141" t="s">
        <v>4330</v>
      </c>
      <c r="P1416" s="141" t="s">
        <v>4331</v>
      </c>
    </row>
    <row r="1417" spans="1:16" ht="25.5">
      <c r="A1417" s="141">
        <v>76807</v>
      </c>
      <c r="B1417" s="141" t="s">
        <v>4325</v>
      </c>
      <c r="C1417" s="142">
        <v>41201</v>
      </c>
      <c r="D1417" s="141">
        <v>1143</v>
      </c>
      <c r="E1417" s="141" t="str">
        <f t="shared" si="122"/>
        <v>001</v>
      </c>
      <c r="F1417" s="141" t="s">
        <v>4326</v>
      </c>
      <c r="G1417" s="141" t="str">
        <f>"1396"</f>
        <v>1396</v>
      </c>
      <c r="H1417" s="141" t="s">
        <v>2359</v>
      </c>
      <c r="I1417" s="141" t="str">
        <f t="shared" si="123"/>
        <v>999</v>
      </c>
      <c r="J1417" s="141" t="s">
        <v>4327</v>
      </c>
      <c r="K1417" s="141">
        <v>2905</v>
      </c>
      <c r="L1417" s="141">
        <v>1</v>
      </c>
      <c r="M1417" s="141">
        <v>0</v>
      </c>
      <c r="N1417" s="141">
        <v>3000</v>
      </c>
      <c r="O1417" s="141" t="s">
        <v>4328</v>
      </c>
      <c r="P1417" s="141" t="s">
        <v>4389</v>
      </c>
    </row>
    <row r="1418" spans="1:16" ht="25.5">
      <c r="A1418" s="141">
        <v>76807</v>
      </c>
      <c r="B1418" s="141" t="s">
        <v>4325</v>
      </c>
      <c r="C1418" s="142">
        <v>41201</v>
      </c>
      <c r="D1418" s="141">
        <v>1143</v>
      </c>
      <c r="E1418" s="141" t="str">
        <f t="shared" si="122"/>
        <v>001</v>
      </c>
      <c r="F1418" s="141" t="s">
        <v>4326</v>
      </c>
      <c r="G1418" s="141" t="str">
        <f>"1396"</f>
        <v>1396</v>
      </c>
      <c r="H1418" s="141" t="s">
        <v>2359</v>
      </c>
      <c r="I1418" s="141" t="str">
        <f t="shared" si="123"/>
        <v>999</v>
      </c>
      <c r="J1418" s="141" t="s">
        <v>4327</v>
      </c>
      <c r="K1418" s="141">
        <v>2945</v>
      </c>
      <c r="L1418" s="141">
        <v>2</v>
      </c>
      <c r="M1418" s="141">
        <v>0</v>
      </c>
      <c r="N1418" s="141">
        <v>5000</v>
      </c>
      <c r="O1418" s="141" t="s">
        <v>4334</v>
      </c>
      <c r="P1418" s="141" t="s">
        <v>4340</v>
      </c>
    </row>
    <row r="1419" spans="1:16" ht="25.5">
      <c r="A1419" s="141">
        <v>76807</v>
      </c>
      <c r="B1419" s="141" t="s">
        <v>4325</v>
      </c>
      <c r="C1419" s="142">
        <v>41201</v>
      </c>
      <c r="D1419" s="141">
        <v>729</v>
      </c>
      <c r="E1419" s="141" t="str">
        <f t="shared" si="122"/>
        <v>001</v>
      </c>
      <c r="F1419" s="141" t="s">
        <v>4326</v>
      </c>
      <c r="G1419" s="141" t="str">
        <f>"1397"</f>
        <v>1397</v>
      </c>
      <c r="H1419" s="141" t="s">
        <v>986</v>
      </c>
      <c r="I1419" s="141" t="str">
        <f t="shared" si="123"/>
        <v>999</v>
      </c>
      <c r="J1419" s="141" t="s">
        <v>4327</v>
      </c>
      <c r="K1419" s="141">
        <v>2248</v>
      </c>
      <c r="L1419" s="141">
        <v>1</v>
      </c>
      <c r="M1419" s="141">
        <v>0</v>
      </c>
      <c r="N1419" s="141">
        <v>6000</v>
      </c>
      <c r="O1419" s="141" t="s">
        <v>4364</v>
      </c>
      <c r="P1419" s="141" t="s">
        <v>4758</v>
      </c>
    </row>
    <row r="1420" spans="1:16" ht="25.5">
      <c r="A1420" s="141">
        <v>76807</v>
      </c>
      <c r="B1420" s="141" t="s">
        <v>4325</v>
      </c>
      <c r="C1420" s="142">
        <v>41201</v>
      </c>
      <c r="D1420" s="141">
        <v>729</v>
      </c>
      <c r="E1420" s="141" t="str">
        <f t="shared" si="122"/>
        <v>001</v>
      </c>
      <c r="F1420" s="141" t="s">
        <v>4326</v>
      </c>
      <c r="G1420" s="141" t="str">
        <f>"1397"</f>
        <v>1397</v>
      </c>
      <c r="H1420" s="141" t="s">
        <v>986</v>
      </c>
      <c r="I1420" s="141" t="str">
        <f t="shared" si="123"/>
        <v>999</v>
      </c>
      <c r="J1420" s="141" t="s">
        <v>4327</v>
      </c>
      <c r="K1420" s="141">
        <v>2249</v>
      </c>
      <c r="L1420" s="141">
        <v>1</v>
      </c>
      <c r="M1420" s="141">
        <v>0</v>
      </c>
      <c r="N1420" s="141">
        <v>14000</v>
      </c>
      <c r="O1420" s="141" t="s">
        <v>4380</v>
      </c>
      <c r="P1420" s="141" t="s">
        <v>4759</v>
      </c>
    </row>
    <row r="1421" spans="1:16" ht="25.5">
      <c r="A1421" s="141">
        <v>76807</v>
      </c>
      <c r="B1421" s="141" t="s">
        <v>4325</v>
      </c>
      <c r="C1421" s="142">
        <v>41201</v>
      </c>
      <c r="D1421" s="141">
        <v>729</v>
      </c>
      <c r="E1421" s="141" t="str">
        <f t="shared" si="122"/>
        <v>001</v>
      </c>
      <c r="F1421" s="141" t="s">
        <v>4326</v>
      </c>
      <c r="G1421" s="141" t="str">
        <f>"1397"</f>
        <v>1397</v>
      </c>
      <c r="H1421" s="141" t="s">
        <v>986</v>
      </c>
      <c r="I1421" s="141" t="str">
        <f t="shared" si="123"/>
        <v>999</v>
      </c>
      <c r="J1421" s="141" t="s">
        <v>4327</v>
      </c>
      <c r="K1421" s="141">
        <v>2250</v>
      </c>
      <c r="L1421" s="141">
        <v>1</v>
      </c>
      <c r="M1421" s="141">
        <v>0</v>
      </c>
      <c r="N1421" s="141">
        <v>4000</v>
      </c>
      <c r="O1421" s="141" t="s">
        <v>4330</v>
      </c>
      <c r="P1421" s="141" t="s">
        <v>4348</v>
      </c>
    </row>
    <row r="1422" spans="1:16" ht="25.5">
      <c r="A1422" s="141">
        <v>76807</v>
      </c>
      <c r="B1422" s="141" t="s">
        <v>4325</v>
      </c>
      <c r="C1422" s="142">
        <v>41201</v>
      </c>
      <c r="D1422" s="141">
        <v>729</v>
      </c>
      <c r="E1422" s="141" t="str">
        <f t="shared" si="122"/>
        <v>001</v>
      </c>
      <c r="F1422" s="141" t="s">
        <v>4326</v>
      </c>
      <c r="G1422" s="141" t="str">
        <f>"1397"</f>
        <v>1397</v>
      </c>
      <c r="H1422" s="141" t="s">
        <v>986</v>
      </c>
      <c r="I1422" s="141" t="str">
        <f t="shared" si="123"/>
        <v>999</v>
      </c>
      <c r="J1422" s="141" t="s">
        <v>4327</v>
      </c>
      <c r="K1422" s="141">
        <v>2251</v>
      </c>
      <c r="L1422" s="141">
        <v>1</v>
      </c>
      <c r="M1422" s="141">
        <v>0</v>
      </c>
      <c r="N1422" s="141">
        <v>11000</v>
      </c>
      <c r="O1422" s="141" t="s">
        <v>4328</v>
      </c>
      <c r="P1422" s="141" t="s">
        <v>4428</v>
      </c>
    </row>
    <row r="1423" spans="1:16" ht="25.5">
      <c r="A1423" s="141">
        <v>76807</v>
      </c>
      <c r="B1423" s="141" t="s">
        <v>4325</v>
      </c>
      <c r="C1423" s="142">
        <v>41201</v>
      </c>
      <c r="D1423" s="141">
        <v>729</v>
      </c>
      <c r="E1423" s="141" t="str">
        <f t="shared" si="122"/>
        <v>001</v>
      </c>
      <c r="F1423" s="141" t="s">
        <v>4326</v>
      </c>
      <c r="G1423" s="141" t="str">
        <f>"1397"</f>
        <v>1397</v>
      </c>
      <c r="H1423" s="141" t="s">
        <v>986</v>
      </c>
      <c r="I1423" s="141" t="str">
        <f t="shared" si="123"/>
        <v>999</v>
      </c>
      <c r="J1423" s="141" t="s">
        <v>4327</v>
      </c>
      <c r="K1423" s="141">
        <v>2252</v>
      </c>
      <c r="L1423" s="141">
        <v>8</v>
      </c>
      <c r="M1423" s="141">
        <v>0</v>
      </c>
      <c r="N1423" s="141">
        <v>18000</v>
      </c>
      <c r="O1423" s="141" t="s">
        <v>4334</v>
      </c>
      <c r="P1423" s="141" t="s">
        <v>4340</v>
      </c>
    </row>
    <row r="1424" spans="1:16" ht="25.5">
      <c r="A1424" s="141">
        <v>76807</v>
      </c>
      <c r="B1424" s="141" t="s">
        <v>4325</v>
      </c>
      <c r="C1424" s="142">
        <v>41201</v>
      </c>
      <c r="D1424" s="141">
        <v>1161</v>
      </c>
      <c r="E1424" s="141" t="str">
        <f t="shared" si="122"/>
        <v>001</v>
      </c>
      <c r="F1424" s="141" t="s">
        <v>4326</v>
      </c>
      <c r="G1424" s="141" t="str">
        <f>"1398"</f>
        <v>1398</v>
      </c>
      <c r="H1424" s="141" t="s">
        <v>983</v>
      </c>
      <c r="I1424" s="141" t="str">
        <f t="shared" si="123"/>
        <v>999</v>
      </c>
      <c r="J1424" s="141" t="s">
        <v>4327</v>
      </c>
      <c r="K1424" s="141">
        <v>2971</v>
      </c>
      <c r="L1424" s="141">
        <v>5</v>
      </c>
      <c r="M1424" s="141">
        <v>0</v>
      </c>
      <c r="N1424" s="141">
        <v>15000</v>
      </c>
      <c r="O1424" s="141" t="s">
        <v>4334</v>
      </c>
      <c r="P1424" s="141" t="s">
        <v>4361</v>
      </c>
    </row>
    <row r="1425" spans="1:16" ht="25.5">
      <c r="A1425" s="141">
        <v>76807</v>
      </c>
      <c r="B1425" s="141" t="s">
        <v>4325</v>
      </c>
      <c r="C1425" s="142">
        <v>41201</v>
      </c>
      <c r="D1425" s="141">
        <v>1161</v>
      </c>
      <c r="E1425" s="141" t="str">
        <f t="shared" si="122"/>
        <v>001</v>
      </c>
      <c r="F1425" s="141" t="s">
        <v>4326</v>
      </c>
      <c r="G1425" s="141" t="str">
        <f>"1398"</f>
        <v>1398</v>
      </c>
      <c r="H1425" s="141" t="s">
        <v>983</v>
      </c>
      <c r="I1425" s="141" t="str">
        <f t="shared" si="123"/>
        <v>999</v>
      </c>
      <c r="J1425" s="141" t="s">
        <v>4327</v>
      </c>
      <c r="K1425" s="141">
        <v>2972</v>
      </c>
      <c r="L1425" s="141">
        <v>1</v>
      </c>
      <c r="M1425" s="141">
        <v>0</v>
      </c>
      <c r="N1425" s="141">
        <v>6000</v>
      </c>
      <c r="O1425" s="141" t="s">
        <v>4328</v>
      </c>
      <c r="P1425" s="141" t="s">
        <v>4430</v>
      </c>
    </row>
    <row r="1426" spans="1:16" ht="25.5">
      <c r="A1426" s="141">
        <v>76807</v>
      </c>
      <c r="B1426" s="141" t="s">
        <v>4325</v>
      </c>
      <c r="C1426" s="142">
        <v>41201</v>
      </c>
      <c r="D1426" s="141">
        <v>1161</v>
      </c>
      <c r="E1426" s="141" t="str">
        <f t="shared" si="122"/>
        <v>001</v>
      </c>
      <c r="F1426" s="141" t="s">
        <v>4326</v>
      </c>
      <c r="G1426" s="141" t="str">
        <f>"1398"</f>
        <v>1398</v>
      </c>
      <c r="H1426" s="141" t="s">
        <v>983</v>
      </c>
      <c r="I1426" s="141" t="str">
        <f t="shared" si="123"/>
        <v>999</v>
      </c>
      <c r="J1426" s="141" t="s">
        <v>4327</v>
      </c>
      <c r="K1426" s="141">
        <v>2973</v>
      </c>
      <c r="L1426" s="141">
        <v>3</v>
      </c>
      <c r="M1426" s="141">
        <v>0</v>
      </c>
      <c r="N1426" s="141">
        <v>2000</v>
      </c>
      <c r="O1426" s="141" t="s">
        <v>4343</v>
      </c>
      <c r="P1426" s="141"/>
    </row>
    <row r="1427" spans="1:16" ht="25.5">
      <c r="A1427" s="141">
        <v>76807</v>
      </c>
      <c r="B1427" s="141" t="s">
        <v>4325</v>
      </c>
      <c r="C1427" s="142">
        <v>41201</v>
      </c>
      <c r="D1427" s="141">
        <v>451</v>
      </c>
      <c r="E1427" s="141" t="str">
        <f t="shared" si="122"/>
        <v>001</v>
      </c>
      <c r="F1427" s="141" t="s">
        <v>4326</v>
      </c>
      <c r="G1427" s="141" t="str">
        <f t="shared" ref="G1427:G1433" si="124">"1413"</f>
        <v>1413</v>
      </c>
      <c r="H1427" s="141" t="s">
        <v>1650</v>
      </c>
      <c r="I1427" s="141" t="str">
        <f t="shared" si="123"/>
        <v>999</v>
      </c>
      <c r="J1427" s="141" t="s">
        <v>4327</v>
      </c>
      <c r="K1427" s="141">
        <v>1345</v>
      </c>
      <c r="L1427" s="141">
        <v>5</v>
      </c>
      <c r="M1427" s="141">
        <v>0</v>
      </c>
      <c r="N1427" s="141">
        <v>55000</v>
      </c>
      <c r="O1427" s="141" t="s">
        <v>4475</v>
      </c>
      <c r="P1427" s="141" t="s">
        <v>4414</v>
      </c>
    </row>
    <row r="1428" spans="1:16" ht="25.5">
      <c r="A1428" s="141">
        <v>76807</v>
      </c>
      <c r="B1428" s="141" t="s">
        <v>4325</v>
      </c>
      <c r="C1428" s="142">
        <v>41201</v>
      </c>
      <c r="D1428" s="141">
        <v>451</v>
      </c>
      <c r="E1428" s="141" t="str">
        <f t="shared" si="122"/>
        <v>001</v>
      </c>
      <c r="F1428" s="141" t="s">
        <v>4326</v>
      </c>
      <c r="G1428" s="141" t="str">
        <f t="shared" si="124"/>
        <v>1413</v>
      </c>
      <c r="H1428" s="141" t="s">
        <v>1650</v>
      </c>
      <c r="I1428" s="141" t="str">
        <f t="shared" si="123"/>
        <v>999</v>
      </c>
      <c r="J1428" s="141" t="s">
        <v>4327</v>
      </c>
      <c r="K1428" s="141">
        <v>1346</v>
      </c>
      <c r="L1428" s="141">
        <v>11</v>
      </c>
      <c r="M1428" s="141">
        <v>0</v>
      </c>
      <c r="N1428" s="141">
        <v>45000</v>
      </c>
      <c r="O1428" s="141" t="s">
        <v>4475</v>
      </c>
      <c r="P1428" s="141" t="s">
        <v>4385</v>
      </c>
    </row>
    <row r="1429" spans="1:16" ht="25.5">
      <c r="A1429" s="141">
        <v>76807</v>
      </c>
      <c r="B1429" s="141" t="s">
        <v>4325</v>
      </c>
      <c r="C1429" s="142">
        <v>41201</v>
      </c>
      <c r="D1429" s="141">
        <v>451</v>
      </c>
      <c r="E1429" s="141" t="str">
        <f t="shared" si="122"/>
        <v>001</v>
      </c>
      <c r="F1429" s="141" t="s">
        <v>4326</v>
      </c>
      <c r="G1429" s="141" t="str">
        <f t="shared" si="124"/>
        <v>1413</v>
      </c>
      <c r="H1429" s="141" t="s">
        <v>1650</v>
      </c>
      <c r="I1429" s="141" t="str">
        <f t="shared" si="123"/>
        <v>999</v>
      </c>
      <c r="J1429" s="141" t="s">
        <v>4327</v>
      </c>
      <c r="K1429" s="141">
        <v>1347</v>
      </c>
      <c r="L1429" s="141">
        <v>2</v>
      </c>
      <c r="M1429" s="141">
        <v>0</v>
      </c>
      <c r="N1429" s="141">
        <v>4000</v>
      </c>
      <c r="O1429" s="141" t="s">
        <v>4408</v>
      </c>
      <c r="P1429" s="141"/>
    </row>
    <row r="1430" spans="1:16" ht="25.5">
      <c r="A1430" s="141">
        <v>76807</v>
      </c>
      <c r="B1430" s="141" t="s">
        <v>4325</v>
      </c>
      <c r="C1430" s="142">
        <v>41201</v>
      </c>
      <c r="D1430" s="141">
        <v>451</v>
      </c>
      <c r="E1430" s="141" t="str">
        <f t="shared" si="122"/>
        <v>001</v>
      </c>
      <c r="F1430" s="141" t="s">
        <v>4326</v>
      </c>
      <c r="G1430" s="141" t="str">
        <f t="shared" si="124"/>
        <v>1413</v>
      </c>
      <c r="H1430" s="141" t="s">
        <v>1650</v>
      </c>
      <c r="I1430" s="141" t="str">
        <f t="shared" si="123"/>
        <v>999</v>
      </c>
      <c r="J1430" s="141" t="s">
        <v>4327</v>
      </c>
      <c r="K1430" s="141">
        <v>1348</v>
      </c>
      <c r="L1430" s="141">
        <v>2</v>
      </c>
      <c r="M1430" s="141">
        <v>0</v>
      </c>
      <c r="N1430" s="141">
        <v>3000</v>
      </c>
      <c r="O1430" s="141" t="s">
        <v>4515</v>
      </c>
      <c r="P1430" s="141"/>
    </row>
    <row r="1431" spans="1:16" ht="25.5">
      <c r="A1431" s="141">
        <v>76807</v>
      </c>
      <c r="B1431" s="141" t="s">
        <v>4325</v>
      </c>
      <c r="C1431" s="142">
        <v>41201</v>
      </c>
      <c r="D1431" s="141">
        <v>451</v>
      </c>
      <c r="E1431" s="141" t="str">
        <f t="shared" si="122"/>
        <v>001</v>
      </c>
      <c r="F1431" s="141" t="s">
        <v>4326</v>
      </c>
      <c r="G1431" s="141" t="str">
        <f t="shared" si="124"/>
        <v>1413</v>
      </c>
      <c r="H1431" s="141" t="s">
        <v>1650</v>
      </c>
      <c r="I1431" s="141" t="str">
        <f t="shared" si="123"/>
        <v>999</v>
      </c>
      <c r="J1431" s="141" t="s">
        <v>4327</v>
      </c>
      <c r="K1431" s="141">
        <v>1349</v>
      </c>
      <c r="L1431" s="141">
        <v>1</v>
      </c>
      <c r="M1431" s="141">
        <v>0</v>
      </c>
      <c r="N1431" s="141">
        <v>26000</v>
      </c>
      <c r="O1431" s="141" t="s">
        <v>4337</v>
      </c>
      <c r="P1431" s="141" t="s">
        <v>4514</v>
      </c>
    </row>
    <row r="1432" spans="1:16" ht="25.5">
      <c r="A1432" s="141">
        <v>76807</v>
      </c>
      <c r="B1432" s="141" t="s">
        <v>4325</v>
      </c>
      <c r="C1432" s="142">
        <v>41201</v>
      </c>
      <c r="D1432" s="141">
        <v>451</v>
      </c>
      <c r="E1432" s="141" t="str">
        <f t="shared" si="122"/>
        <v>001</v>
      </c>
      <c r="F1432" s="141" t="s">
        <v>4326</v>
      </c>
      <c r="G1432" s="141" t="str">
        <f t="shared" si="124"/>
        <v>1413</v>
      </c>
      <c r="H1432" s="141" t="s">
        <v>1650</v>
      </c>
      <c r="I1432" s="141" t="str">
        <f t="shared" si="123"/>
        <v>999</v>
      </c>
      <c r="J1432" s="141" t="s">
        <v>4327</v>
      </c>
      <c r="K1432" s="141">
        <v>1350</v>
      </c>
      <c r="L1432" s="141">
        <v>2</v>
      </c>
      <c r="M1432" s="141">
        <v>0</v>
      </c>
      <c r="N1432" s="141">
        <v>1000</v>
      </c>
      <c r="O1432" s="141" t="s">
        <v>4350</v>
      </c>
      <c r="P1432" s="141"/>
    </row>
    <row r="1433" spans="1:16" ht="25.5">
      <c r="A1433" s="141">
        <v>76807</v>
      </c>
      <c r="B1433" s="141" t="s">
        <v>4325</v>
      </c>
      <c r="C1433" s="142">
        <v>41201</v>
      </c>
      <c r="D1433" s="141">
        <v>451</v>
      </c>
      <c r="E1433" s="141" t="str">
        <f t="shared" si="122"/>
        <v>001</v>
      </c>
      <c r="F1433" s="141" t="s">
        <v>4326</v>
      </c>
      <c r="G1433" s="141" t="str">
        <f t="shared" si="124"/>
        <v>1413</v>
      </c>
      <c r="H1433" s="141" t="s">
        <v>1650</v>
      </c>
      <c r="I1433" s="141" t="str">
        <f t="shared" si="123"/>
        <v>999</v>
      </c>
      <c r="J1433" s="141" t="s">
        <v>4327</v>
      </c>
      <c r="K1433" s="141">
        <v>1351</v>
      </c>
      <c r="L1433" s="141">
        <v>1</v>
      </c>
      <c r="M1433" s="141">
        <v>0</v>
      </c>
      <c r="N1433" s="141">
        <v>4000</v>
      </c>
      <c r="O1433" s="141" t="s">
        <v>4472</v>
      </c>
      <c r="P1433" s="141" t="s">
        <v>4702</v>
      </c>
    </row>
    <row r="1434" spans="1:16" ht="25.5">
      <c r="A1434" s="141">
        <v>76807</v>
      </c>
      <c r="B1434" s="141" t="s">
        <v>4325</v>
      </c>
      <c r="C1434" s="142">
        <v>41201</v>
      </c>
      <c r="D1434" s="141">
        <v>346</v>
      </c>
      <c r="E1434" s="141" t="str">
        <f t="shared" si="122"/>
        <v>001</v>
      </c>
      <c r="F1434" s="141" t="s">
        <v>4326</v>
      </c>
      <c r="G1434" s="141" t="str">
        <f>"1415"</f>
        <v>1415</v>
      </c>
      <c r="H1434" s="141" t="s">
        <v>4760</v>
      </c>
      <c r="I1434" s="141" t="str">
        <f t="shared" si="123"/>
        <v>999</v>
      </c>
      <c r="J1434" s="141" t="s">
        <v>4327</v>
      </c>
      <c r="K1434" s="141">
        <v>584</v>
      </c>
      <c r="L1434" s="141">
        <v>5</v>
      </c>
      <c r="M1434" s="141">
        <v>0</v>
      </c>
      <c r="N1434" s="141">
        <v>15000</v>
      </c>
      <c r="O1434" s="141" t="s">
        <v>4334</v>
      </c>
      <c r="P1434" s="141" t="s">
        <v>4335</v>
      </c>
    </row>
    <row r="1435" spans="1:16" ht="25.5">
      <c r="A1435" s="141">
        <v>76807</v>
      </c>
      <c r="B1435" s="141" t="s">
        <v>4325</v>
      </c>
      <c r="C1435" s="142">
        <v>41201</v>
      </c>
      <c r="D1435" s="141">
        <v>346</v>
      </c>
      <c r="E1435" s="141" t="str">
        <f t="shared" si="122"/>
        <v>001</v>
      </c>
      <c r="F1435" s="141" t="s">
        <v>4326</v>
      </c>
      <c r="G1435" s="141" t="str">
        <f>"1415"</f>
        <v>1415</v>
      </c>
      <c r="H1435" s="141" t="s">
        <v>4760</v>
      </c>
      <c r="I1435" s="141" t="str">
        <f t="shared" si="123"/>
        <v>999</v>
      </c>
      <c r="J1435" s="141" t="s">
        <v>4327</v>
      </c>
      <c r="K1435" s="141">
        <v>585</v>
      </c>
      <c r="L1435" s="141">
        <v>3</v>
      </c>
      <c r="M1435" s="141">
        <v>0</v>
      </c>
      <c r="N1435" s="141">
        <v>27000</v>
      </c>
      <c r="O1435" s="141" t="s">
        <v>4357</v>
      </c>
      <c r="P1435" s="141" t="s">
        <v>4360</v>
      </c>
    </row>
    <row r="1436" spans="1:16" ht="25.5">
      <c r="A1436" s="141">
        <v>76807</v>
      </c>
      <c r="B1436" s="141" t="s">
        <v>4325</v>
      </c>
      <c r="C1436" s="142">
        <v>41201</v>
      </c>
      <c r="D1436" s="141">
        <v>346</v>
      </c>
      <c r="E1436" s="141" t="str">
        <f t="shared" si="122"/>
        <v>001</v>
      </c>
      <c r="F1436" s="141" t="s">
        <v>4326</v>
      </c>
      <c r="G1436" s="141" t="str">
        <f>"1415"</f>
        <v>1415</v>
      </c>
      <c r="H1436" s="141" t="s">
        <v>4760</v>
      </c>
      <c r="I1436" s="141" t="str">
        <f t="shared" si="123"/>
        <v>999</v>
      </c>
      <c r="J1436" s="141" t="s">
        <v>4327</v>
      </c>
      <c r="K1436" s="141">
        <v>586</v>
      </c>
      <c r="L1436" s="141">
        <v>1</v>
      </c>
      <c r="M1436" s="141">
        <v>0</v>
      </c>
      <c r="N1436" s="141">
        <v>23000</v>
      </c>
      <c r="O1436" s="141" t="s">
        <v>4328</v>
      </c>
      <c r="P1436" s="141" t="s">
        <v>4757</v>
      </c>
    </row>
    <row r="1437" spans="1:16" ht="25.5">
      <c r="A1437" s="141">
        <v>76807</v>
      </c>
      <c r="B1437" s="141" t="s">
        <v>4325</v>
      </c>
      <c r="C1437" s="142">
        <v>41201</v>
      </c>
      <c r="D1437" s="141">
        <v>346</v>
      </c>
      <c r="E1437" s="141" t="str">
        <f t="shared" si="122"/>
        <v>001</v>
      </c>
      <c r="F1437" s="141" t="s">
        <v>4326</v>
      </c>
      <c r="G1437" s="141" t="str">
        <f>"1415"</f>
        <v>1415</v>
      </c>
      <c r="H1437" s="141" t="s">
        <v>4760</v>
      </c>
      <c r="I1437" s="141" t="str">
        <f t="shared" si="123"/>
        <v>999</v>
      </c>
      <c r="J1437" s="141" t="s">
        <v>4327</v>
      </c>
      <c r="K1437" s="141">
        <v>587</v>
      </c>
      <c r="L1437" s="141">
        <v>1</v>
      </c>
      <c r="M1437" s="141">
        <v>0</v>
      </c>
      <c r="N1437" s="141">
        <v>3000</v>
      </c>
      <c r="O1437" s="141" t="s">
        <v>4388</v>
      </c>
      <c r="P1437" s="141" t="s">
        <v>4599</v>
      </c>
    </row>
    <row r="1438" spans="1:16" ht="25.5">
      <c r="A1438" s="141">
        <v>76807</v>
      </c>
      <c r="B1438" s="141" t="s">
        <v>4325</v>
      </c>
      <c r="C1438" s="142">
        <v>41201</v>
      </c>
      <c r="D1438" s="141">
        <v>346</v>
      </c>
      <c r="E1438" s="141" t="str">
        <f t="shared" si="122"/>
        <v>001</v>
      </c>
      <c r="F1438" s="141" t="s">
        <v>4326</v>
      </c>
      <c r="G1438" s="141" t="str">
        <f>"1415"</f>
        <v>1415</v>
      </c>
      <c r="H1438" s="141" t="s">
        <v>4760</v>
      </c>
      <c r="I1438" s="141" t="str">
        <f t="shared" si="123"/>
        <v>999</v>
      </c>
      <c r="J1438" s="141" t="s">
        <v>4327</v>
      </c>
      <c r="K1438" s="141">
        <v>588</v>
      </c>
      <c r="L1438" s="141">
        <v>1</v>
      </c>
      <c r="M1438" s="141">
        <v>0</v>
      </c>
      <c r="N1438" s="141">
        <v>112000</v>
      </c>
      <c r="O1438" s="141" t="s">
        <v>4366</v>
      </c>
      <c r="P1438" s="141" t="s">
        <v>4367</v>
      </c>
    </row>
    <row r="1439" spans="1:16" ht="25.5">
      <c r="A1439" s="141">
        <v>76807</v>
      </c>
      <c r="B1439" s="141" t="s">
        <v>4325</v>
      </c>
      <c r="C1439" s="142">
        <v>41201</v>
      </c>
      <c r="D1439" s="141">
        <v>735</v>
      </c>
      <c r="E1439" s="141" t="str">
        <f t="shared" si="122"/>
        <v>001</v>
      </c>
      <c r="F1439" s="141" t="s">
        <v>4326</v>
      </c>
      <c r="G1439" s="141" t="str">
        <f t="shared" ref="G1439:G1462" si="125">"1416"</f>
        <v>1416</v>
      </c>
      <c r="H1439" s="141" t="s">
        <v>995</v>
      </c>
      <c r="I1439" s="141" t="str">
        <f t="shared" si="123"/>
        <v>999</v>
      </c>
      <c r="J1439" s="141" t="s">
        <v>4327</v>
      </c>
      <c r="K1439" s="141">
        <v>2315</v>
      </c>
      <c r="L1439" s="141">
        <v>1</v>
      </c>
      <c r="M1439" s="141">
        <v>0</v>
      </c>
      <c r="N1439" s="141">
        <v>13000</v>
      </c>
      <c r="O1439" s="141" t="s">
        <v>4351</v>
      </c>
      <c r="P1439" s="141" t="s">
        <v>4469</v>
      </c>
    </row>
    <row r="1440" spans="1:16" ht="25.5">
      <c r="A1440" s="141">
        <v>76807</v>
      </c>
      <c r="B1440" s="141" t="s">
        <v>4325</v>
      </c>
      <c r="C1440" s="142">
        <v>41201</v>
      </c>
      <c r="D1440" s="141">
        <v>735</v>
      </c>
      <c r="E1440" s="141" t="str">
        <f t="shared" si="122"/>
        <v>001</v>
      </c>
      <c r="F1440" s="141" t="s">
        <v>4326</v>
      </c>
      <c r="G1440" s="141" t="str">
        <f t="shared" si="125"/>
        <v>1416</v>
      </c>
      <c r="H1440" s="141" t="s">
        <v>995</v>
      </c>
      <c r="I1440" s="141" t="str">
        <f t="shared" si="123"/>
        <v>999</v>
      </c>
      <c r="J1440" s="141" t="s">
        <v>4327</v>
      </c>
      <c r="K1440" s="141">
        <v>2316</v>
      </c>
      <c r="L1440" s="141">
        <v>1</v>
      </c>
      <c r="M1440" s="141">
        <v>0</v>
      </c>
      <c r="N1440" s="141">
        <v>13000</v>
      </c>
      <c r="O1440" s="141" t="s">
        <v>4337</v>
      </c>
      <c r="P1440" s="141" t="s">
        <v>4590</v>
      </c>
    </row>
    <row r="1441" spans="1:16" ht="25.5">
      <c r="A1441" s="141">
        <v>76807</v>
      </c>
      <c r="B1441" s="141" t="s">
        <v>4325</v>
      </c>
      <c r="C1441" s="142">
        <v>41201</v>
      </c>
      <c r="D1441" s="141">
        <v>735</v>
      </c>
      <c r="E1441" s="141" t="str">
        <f t="shared" si="122"/>
        <v>001</v>
      </c>
      <c r="F1441" s="141" t="s">
        <v>4326</v>
      </c>
      <c r="G1441" s="141" t="str">
        <f t="shared" si="125"/>
        <v>1416</v>
      </c>
      <c r="H1441" s="141" t="s">
        <v>995</v>
      </c>
      <c r="I1441" s="141" t="str">
        <f t="shared" si="123"/>
        <v>999</v>
      </c>
      <c r="J1441" s="141" t="s">
        <v>4327</v>
      </c>
      <c r="K1441" s="141">
        <v>2317</v>
      </c>
      <c r="L1441" s="141">
        <v>1</v>
      </c>
      <c r="M1441" s="141">
        <v>0</v>
      </c>
      <c r="N1441" s="141">
        <v>11000</v>
      </c>
      <c r="O1441" s="141" t="s">
        <v>4357</v>
      </c>
      <c r="P1441" s="141" t="s">
        <v>4626</v>
      </c>
    </row>
    <row r="1442" spans="1:16" ht="25.5">
      <c r="A1442" s="141">
        <v>76807</v>
      </c>
      <c r="B1442" s="141" t="s">
        <v>4325</v>
      </c>
      <c r="C1442" s="142">
        <v>41201</v>
      </c>
      <c r="D1442" s="141">
        <v>735</v>
      </c>
      <c r="E1442" s="141" t="str">
        <f t="shared" si="122"/>
        <v>001</v>
      </c>
      <c r="F1442" s="141" t="s">
        <v>4326</v>
      </c>
      <c r="G1442" s="141" t="str">
        <f t="shared" si="125"/>
        <v>1416</v>
      </c>
      <c r="H1442" s="141" t="s">
        <v>995</v>
      </c>
      <c r="I1442" s="141" t="str">
        <f t="shared" si="123"/>
        <v>999</v>
      </c>
      <c r="J1442" s="141" t="s">
        <v>4327</v>
      </c>
      <c r="K1442" s="141">
        <v>2318</v>
      </c>
      <c r="L1442" s="141">
        <v>4</v>
      </c>
      <c r="M1442" s="141">
        <v>0</v>
      </c>
      <c r="N1442" s="141">
        <v>34000</v>
      </c>
      <c r="O1442" s="141" t="s">
        <v>4357</v>
      </c>
      <c r="P1442" s="141" t="s">
        <v>4628</v>
      </c>
    </row>
    <row r="1443" spans="1:16" ht="25.5">
      <c r="A1443" s="141">
        <v>76807</v>
      </c>
      <c r="B1443" s="141" t="s">
        <v>4325</v>
      </c>
      <c r="C1443" s="142">
        <v>41201</v>
      </c>
      <c r="D1443" s="141">
        <v>735</v>
      </c>
      <c r="E1443" s="141" t="str">
        <f t="shared" si="122"/>
        <v>001</v>
      </c>
      <c r="F1443" s="141" t="s">
        <v>4326</v>
      </c>
      <c r="G1443" s="141" t="str">
        <f t="shared" si="125"/>
        <v>1416</v>
      </c>
      <c r="H1443" s="141" t="s">
        <v>995</v>
      </c>
      <c r="I1443" s="141" t="str">
        <f t="shared" si="123"/>
        <v>999</v>
      </c>
      <c r="J1443" s="141" t="s">
        <v>4327</v>
      </c>
      <c r="K1443" s="141">
        <v>2319</v>
      </c>
      <c r="L1443" s="141">
        <v>4</v>
      </c>
      <c r="M1443" s="141">
        <v>0</v>
      </c>
      <c r="N1443" s="141">
        <v>32000</v>
      </c>
      <c r="O1443" s="141" t="s">
        <v>4357</v>
      </c>
      <c r="P1443" s="141" t="s">
        <v>4547</v>
      </c>
    </row>
    <row r="1444" spans="1:16" ht="25.5">
      <c r="A1444" s="141">
        <v>76807</v>
      </c>
      <c r="B1444" s="141" t="s">
        <v>4325</v>
      </c>
      <c r="C1444" s="142">
        <v>41201</v>
      </c>
      <c r="D1444" s="141">
        <v>735</v>
      </c>
      <c r="E1444" s="141" t="str">
        <f t="shared" si="122"/>
        <v>001</v>
      </c>
      <c r="F1444" s="141" t="s">
        <v>4326</v>
      </c>
      <c r="G1444" s="141" t="str">
        <f t="shared" si="125"/>
        <v>1416</v>
      </c>
      <c r="H1444" s="141" t="s">
        <v>995</v>
      </c>
      <c r="I1444" s="141" t="str">
        <f t="shared" si="123"/>
        <v>999</v>
      </c>
      <c r="J1444" s="141" t="s">
        <v>4327</v>
      </c>
      <c r="K1444" s="141">
        <v>2320</v>
      </c>
      <c r="L1444" s="141">
        <v>1</v>
      </c>
      <c r="M1444" s="141">
        <v>0</v>
      </c>
      <c r="N1444" s="141">
        <v>7000</v>
      </c>
      <c r="O1444" s="141" t="s">
        <v>4357</v>
      </c>
      <c r="P1444" s="141" t="s">
        <v>4549</v>
      </c>
    </row>
    <row r="1445" spans="1:16" ht="25.5">
      <c r="A1445" s="141">
        <v>76807</v>
      </c>
      <c r="B1445" s="141" t="s">
        <v>4325</v>
      </c>
      <c r="C1445" s="142">
        <v>41201</v>
      </c>
      <c r="D1445" s="141">
        <v>735</v>
      </c>
      <c r="E1445" s="141" t="str">
        <f t="shared" si="122"/>
        <v>001</v>
      </c>
      <c r="F1445" s="141" t="s">
        <v>4326</v>
      </c>
      <c r="G1445" s="141" t="str">
        <f t="shared" si="125"/>
        <v>1416</v>
      </c>
      <c r="H1445" s="141" t="s">
        <v>995</v>
      </c>
      <c r="I1445" s="141" t="str">
        <f t="shared" si="123"/>
        <v>999</v>
      </c>
      <c r="J1445" s="141" t="s">
        <v>4327</v>
      </c>
      <c r="K1445" s="141">
        <v>2321</v>
      </c>
      <c r="L1445" s="141">
        <v>1</v>
      </c>
      <c r="M1445" s="141">
        <v>0</v>
      </c>
      <c r="N1445" s="141">
        <v>12000</v>
      </c>
      <c r="O1445" s="141" t="s">
        <v>4357</v>
      </c>
      <c r="P1445" s="141" t="s">
        <v>4555</v>
      </c>
    </row>
    <row r="1446" spans="1:16" ht="25.5">
      <c r="A1446" s="141">
        <v>76807</v>
      </c>
      <c r="B1446" s="141" t="s">
        <v>4325</v>
      </c>
      <c r="C1446" s="142">
        <v>41201</v>
      </c>
      <c r="D1446" s="141">
        <v>735</v>
      </c>
      <c r="E1446" s="141" t="str">
        <f t="shared" si="122"/>
        <v>001</v>
      </c>
      <c r="F1446" s="141" t="s">
        <v>4326</v>
      </c>
      <c r="G1446" s="141" t="str">
        <f t="shared" si="125"/>
        <v>1416</v>
      </c>
      <c r="H1446" s="141" t="s">
        <v>995</v>
      </c>
      <c r="I1446" s="141" t="str">
        <f t="shared" si="123"/>
        <v>999</v>
      </c>
      <c r="J1446" s="141" t="s">
        <v>4327</v>
      </c>
      <c r="K1446" s="141">
        <v>2322</v>
      </c>
      <c r="L1446" s="141">
        <v>1</v>
      </c>
      <c r="M1446" s="141">
        <v>0</v>
      </c>
      <c r="N1446" s="141">
        <v>224000</v>
      </c>
      <c r="O1446" s="141" t="s">
        <v>4366</v>
      </c>
      <c r="P1446" s="141" t="s">
        <v>4541</v>
      </c>
    </row>
    <row r="1447" spans="1:16" ht="25.5">
      <c r="A1447" s="141">
        <v>76807</v>
      </c>
      <c r="B1447" s="141" t="s">
        <v>4325</v>
      </c>
      <c r="C1447" s="142">
        <v>41201</v>
      </c>
      <c r="D1447" s="141">
        <v>735</v>
      </c>
      <c r="E1447" s="141" t="str">
        <f t="shared" si="122"/>
        <v>001</v>
      </c>
      <c r="F1447" s="141" t="s">
        <v>4326</v>
      </c>
      <c r="G1447" s="141" t="str">
        <f t="shared" si="125"/>
        <v>1416</v>
      </c>
      <c r="H1447" s="141" t="s">
        <v>995</v>
      </c>
      <c r="I1447" s="141" t="str">
        <f t="shared" si="123"/>
        <v>999</v>
      </c>
      <c r="J1447" s="141" t="s">
        <v>4327</v>
      </c>
      <c r="K1447" s="141">
        <v>2323</v>
      </c>
      <c r="L1447" s="141">
        <v>1</v>
      </c>
      <c r="M1447" s="141">
        <v>0</v>
      </c>
      <c r="N1447" s="141">
        <v>3000</v>
      </c>
      <c r="O1447" s="141" t="s">
        <v>4330</v>
      </c>
      <c r="P1447" s="141" t="s">
        <v>4331</v>
      </c>
    </row>
    <row r="1448" spans="1:16" ht="25.5">
      <c r="A1448" s="141">
        <v>76807</v>
      </c>
      <c r="B1448" s="141" t="s">
        <v>4325</v>
      </c>
      <c r="C1448" s="142">
        <v>41201</v>
      </c>
      <c r="D1448" s="141">
        <v>735</v>
      </c>
      <c r="E1448" s="141" t="str">
        <f t="shared" si="122"/>
        <v>001</v>
      </c>
      <c r="F1448" s="141" t="s">
        <v>4326</v>
      </c>
      <c r="G1448" s="141" t="str">
        <f t="shared" si="125"/>
        <v>1416</v>
      </c>
      <c r="H1448" s="141" t="s">
        <v>995</v>
      </c>
      <c r="I1448" s="141" t="str">
        <f t="shared" si="123"/>
        <v>999</v>
      </c>
      <c r="J1448" s="141" t="s">
        <v>4327</v>
      </c>
      <c r="K1448" s="141">
        <v>2324</v>
      </c>
      <c r="L1448" s="141">
        <v>1</v>
      </c>
      <c r="M1448" s="141">
        <v>0</v>
      </c>
      <c r="N1448" s="141">
        <v>2000</v>
      </c>
      <c r="O1448" s="141" t="s">
        <v>4330</v>
      </c>
      <c r="P1448" s="141" t="s">
        <v>4356</v>
      </c>
    </row>
    <row r="1449" spans="1:16" ht="25.5">
      <c r="A1449" s="141">
        <v>76807</v>
      </c>
      <c r="B1449" s="141" t="s">
        <v>4325</v>
      </c>
      <c r="C1449" s="142">
        <v>41201</v>
      </c>
      <c r="D1449" s="141">
        <v>735</v>
      </c>
      <c r="E1449" s="141" t="str">
        <f t="shared" si="122"/>
        <v>001</v>
      </c>
      <c r="F1449" s="141" t="s">
        <v>4326</v>
      </c>
      <c r="G1449" s="141" t="str">
        <f t="shared" si="125"/>
        <v>1416</v>
      </c>
      <c r="H1449" s="141" t="s">
        <v>995</v>
      </c>
      <c r="I1449" s="141" t="str">
        <f t="shared" si="123"/>
        <v>999</v>
      </c>
      <c r="J1449" s="141" t="s">
        <v>4327</v>
      </c>
      <c r="K1449" s="141">
        <v>2325</v>
      </c>
      <c r="L1449" s="141">
        <v>2</v>
      </c>
      <c r="M1449" s="141">
        <v>0</v>
      </c>
      <c r="N1449" s="141">
        <v>1000</v>
      </c>
      <c r="O1449" s="141" t="s">
        <v>4350</v>
      </c>
      <c r="P1449" s="141"/>
    </row>
    <row r="1450" spans="1:16" ht="25.5">
      <c r="A1450" s="141">
        <v>76807</v>
      </c>
      <c r="B1450" s="141" t="s">
        <v>4325</v>
      </c>
      <c r="C1450" s="142">
        <v>41201</v>
      </c>
      <c r="D1450" s="141">
        <v>735</v>
      </c>
      <c r="E1450" s="141" t="str">
        <f t="shared" si="122"/>
        <v>001</v>
      </c>
      <c r="F1450" s="141" t="s">
        <v>4326</v>
      </c>
      <c r="G1450" s="141" t="str">
        <f t="shared" si="125"/>
        <v>1416</v>
      </c>
      <c r="H1450" s="141" t="s">
        <v>995</v>
      </c>
      <c r="I1450" s="141" t="str">
        <f t="shared" si="123"/>
        <v>999</v>
      </c>
      <c r="J1450" s="141" t="s">
        <v>4327</v>
      </c>
      <c r="K1450" s="141">
        <v>2326</v>
      </c>
      <c r="L1450" s="141">
        <v>11</v>
      </c>
      <c r="M1450" s="141">
        <v>0</v>
      </c>
      <c r="N1450" s="141">
        <v>8000</v>
      </c>
      <c r="O1450" s="141" t="s">
        <v>4343</v>
      </c>
      <c r="P1450" s="141"/>
    </row>
    <row r="1451" spans="1:16" ht="25.5">
      <c r="A1451" s="141">
        <v>76807</v>
      </c>
      <c r="B1451" s="141" t="s">
        <v>4325</v>
      </c>
      <c r="C1451" s="142">
        <v>41201</v>
      </c>
      <c r="D1451" s="141">
        <v>735</v>
      </c>
      <c r="E1451" s="141" t="str">
        <f t="shared" si="122"/>
        <v>001</v>
      </c>
      <c r="F1451" s="141" t="s">
        <v>4326</v>
      </c>
      <c r="G1451" s="141" t="str">
        <f t="shared" si="125"/>
        <v>1416</v>
      </c>
      <c r="H1451" s="141" t="s">
        <v>995</v>
      </c>
      <c r="I1451" s="141" t="str">
        <f t="shared" si="123"/>
        <v>999</v>
      </c>
      <c r="J1451" s="141" t="s">
        <v>4327</v>
      </c>
      <c r="K1451" s="141">
        <v>2327</v>
      </c>
      <c r="L1451" s="141">
        <v>1</v>
      </c>
      <c r="M1451" s="141">
        <v>0</v>
      </c>
      <c r="N1451" s="141">
        <v>9000</v>
      </c>
      <c r="O1451" s="141" t="s">
        <v>4550</v>
      </c>
      <c r="P1451" s="141" t="s">
        <v>4372</v>
      </c>
    </row>
    <row r="1452" spans="1:16" ht="25.5">
      <c r="A1452" s="141">
        <v>76807</v>
      </c>
      <c r="B1452" s="141" t="s">
        <v>4325</v>
      </c>
      <c r="C1452" s="142">
        <v>41201</v>
      </c>
      <c r="D1452" s="141">
        <v>735</v>
      </c>
      <c r="E1452" s="141" t="str">
        <f t="shared" si="122"/>
        <v>001</v>
      </c>
      <c r="F1452" s="141" t="s">
        <v>4326</v>
      </c>
      <c r="G1452" s="141" t="str">
        <f t="shared" si="125"/>
        <v>1416</v>
      </c>
      <c r="H1452" s="141" t="s">
        <v>995</v>
      </c>
      <c r="I1452" s="141" t="str">
        <f t="shared" si="123"/>
        <v>999</v>
      </c>
      <c r="J1452" s="141" t="s">
        <v>4327</v>
      </c>
      <c r="K1452" s="141">
        <v>2328</v>
      </c>
      <c r="L1452" s="141">
        <v>1</v>
      </c>
      <c r="M1452" s="141">
        <v>0</v>
      </c>
      <c r="N1452" s="141">
        <v>9000</v>
      </c>
      <c r="O1452" s="141" t="s">
        <v>4550</v>
      </c>
      <c r="P1452" s="141" t="s">
        <v>4372</v>
      </c>
    </row>
    <row r="1453" spans="1:16" ht="25.5">
      <c r="A1453" s="141">
        <v>76807</v>
      </c>
      <c r="B1453" s="141" t="s">
        <v>4325</v>
      </c>
      <c r="C1453" s="142">
        <v>41201</v>
      </c>
      <c r="D1453" s="141">
        <v>735</v>
      </c>
      <c r="E1453" s="141" t="str">
        <f t="shared" si="122"/>
        <v>001</v>
      </c>
      <c r="F1453" s="141" t="s">
        <v>4326</v>
      </c>
      <c r="G1453" s="141" t="str">
        <f t="shared" si="125"/>
        <v>1416</v>
      </c>
      <c r="H1453" s="141" t="s">
        <v>995</v>
      </c>
      <c r="I1453" s="141" t="str">
        <f t="shared" si="123"/>
        <v>999</v>
      </c>
      <c r="J1453" s="141" t="s">
        <v>4327</v>
      </c>
      <c r="K1453" s="141">
        <v>2329</v>
      </c>
      <c r="L1453" s="141">
        <v>1</v>
      </c>
      <c r="M1453" s="141">
        <v>0</v>
      </c>
      <c r="N1453" s="141">
        <v>9000</v>
      </c>
      <c r="O1453" s="141" t="s">
        <v>4550</v>
      </c>
      <c r="P1453" s="141" t="s">
        <v>4372</v>
      </c>
    </row>
    <row r="1454" spans="1:16" ht="25.5">
      <c r="A1454" s="141">
        <v>76807</v>
      </c>
      <c r="B1454" s="141" t="s">
        <v>4325</v>
      </c>
      <c r="C1454" s="142">
        <v>41201</v>
      </c>
      <c r="D1454" s="141">
        <v>735</v>
      </c>
      <c r="E1454" s="141" t="str">
        <f t="shared" si="122"/>
        <v>001</v>
      </c>
      <c r="F1454" s="141" t="s">
        <v>4326</v>
      </c>
      <c r="G1454" s="141" t="str">
        <f t="shared" si="125"/>
        <v>1416</v>
      </c>
      <c r="H1454" s="141" t="s">
        <v>995</v>
      </c>
      <c r="I1454" s="141" t="str">
        <f t="shared" si="123"/>
        <v>999</v>
      </c>
      <c r="J1454" s="141" t="s">
        <v>4327</v>
      </c>
      <c r="K1454" s="141">
        <v>2330</v>
      </c>
      <c r="L1454" s="141">
        <v>1</v>
      </c>
      <c r="M1454" s="141">
        <v>0</v>
      </c>
      <c r="N1454" s="141">
        <v>9000</v>
      </c>
      <c r="O1454" s="141" t="s">
        <v>4550</v>
      </c>
      <c r="P1454" s="141" t="s">
        <v>4372</v>
      </c>
    </row>
    <row r="1455" spans="1:16" ht="25.5">
      <c r="A1455" s="141">
        <v>76807</v>
      </c>
      <c r="B1455" s="141" t="s">
        <v>4325</v>
      </c>
      <c r="C1455" s="142">
        <v>41201</v>
      </c>
      <c r="D1455" s="141">
        <v>735</v>
      </c>
      <c r="E1455" s="141" t="str">
        <f t="shared" si="122"/>
        <v>001</v>
      </c>
      <c r="F1455" s="141" t="s">
        <v>4326</v>
      </c>
      <c r="G1455" s="141" t="str">
        <f t="shared" si="125"/>
        <v>1416</v>
      </c>
      <c r="H1455" s="141" t="s">
        <v>995</v>
      </c>
      <c r="I1455" s="141" t="str">
        <f t="shared" si="123"/>
        <v>999</v>
      </c>
      <c r="J1455" s="141" t="s">
        <v>4327</v>
      </c>
      <c r="K1455" s="141">
        <v>2331</v>
      </c>
      <c r="L1455" s="141">
        <v>1</v>
      </c>
      <c r="M1455" s="141">
        <v>0</v>
      </c>
      <c r="N1455" s="141">
        <v>9000</v>
      </c>
      <c r="O1455" s="141" t="s">
        <v>4550</v>
      </c>
      <c r="P1455" s="141" t="s">
        <v>4372</v>
      </c>
    </row>
    <row r="1456" spans="1:16" ht="25.5">
      <c r="A1456" s="141">
        <v>76807</v>
      </c>
      <c r="B1456" s="141" t="s">
        <v>4325</v>
      </c>
      <c r="C1456" s="142">
        <v>41201</v>
      </c>
      <c r="D1456" s="141">
        <v>735</v>
      </c>
      <c r="E1456" s="141" t="str">
        <f t="shared" si="122"/>
        <v>001</v>
      </c>
      <c r="F1456" s="141" t="s">
        <v>4326</v>
      </c>
      <c r="G1456" s="141" t="str">
        <f t="shared" si="125"/>
        <v>1416</v>
      </c>
      <c r="H1456" s="141" t="s">
        <v>995</v>
      </c>
      <c r="I1456" s="141" t="str">
        <f t="shared" si="123"/>
        <v>999</v>
      </c>
      <c r="J1456" s="141" t="s">
        <v>4327</v>
      </c>
      <c r="K1456" s="141">
        <v>2332</v>
      </c>
      <c r="L1456" s="141">
        <v>1</v>
      </c>
      <c r="M1456" s="141">
        <v>0</v>
      </c>
      <c r="N1456" s="141">
        <v>9000</v>
      </c>
      <c r="O1456" s="141" t="s">
        <v>4550</v>
      </c>
      <c r="P1456" s="141" t="s">
        <v>4372</v>
      </c>
    </row>
    <row r="1457" spans="1:16" ht="25.5">
      <c r="A1457" s="141">
        <v>76807</v>
      </c>
      <c r="B1457" s="141" t="s">
        <v>4325</v>
      </c>
      <c r="C1457" s="142">
        <v>41201</v>
      </c>
      <c r="D1457" s="141">
        <v>735</v>
      </c>
      <c r="E1457" s="141" t="str">
        <f t="shared" si="122"/>
        <v>001</v>
      </c>
      <c r="F1457" s="141" t="s">
        <v>4326</v>
      </c>
      <c r="G1457" s="141" t="str">
        <f t="shared" si="125"/>
        <v>1416</v>
      </c>
      <c r="H1457" s="141" t="s">
        <v>995</v>
      </c>
      <c r="I1457" s="141" t="str">
        <f t="shared" si="123"/>
        <v>999</v>
      </c>
      <c r="J1457" s="141" t="s">
        <v>4327</v>
      </c>
      <c r="K1457" s="141">
        <v>2333</v>
      </c>
      <c r="L1457" s="141">
        <v>1</v>
      </c>
      <c r="M1457" s="141">
        <v>0</v>
      </c>
      <c r="N1457" s="141">
        <v>5000</v>
      </c>
      <c r="O1457" s="141" t="s">
        <v>4550</v>
      </c>
      <c r="P1457" s="141" t="s">
        <v>4737</v>
      </c>
    </row>
    <row r="1458" spans="1:16" ht="25.5">
      <c r="A1458" s="141">
        <v>76807</v>
      </c>
      <c r="B1458" s="141" t="s">
        <v>4325</v>
      </c>
      <c r="C1458" s="142">
        <v>41201</v>
      </c>
      <c r="D1458" s="141">
        <v>735</v>
      </c>
      <c r="E1458" s="141" t="str">
        <f t="shared" si="122"/>
        <v>001</v>
      </c>
      <c r="F1458" s="141" t="s">
        <v>4326</v>
      </c>
      <c r="G1458" s="141" t="str">
        <f t="shared" si="125"/>
        <v>1416</v>
      </c>
      <c r="H1458" s="141" t="s">
        <v>995</v>
      </c>
      <c r="I1458" s="141" t="str">
        <f t="shared" si="123"/>
        <v>999</v>
      </c>
      <c r="J1458" s="141" t="s">
        <v>4327</v>
      </c>
      <c r="K1458" s="141">
        <v>2334</v>
      </c>
      <c r="L1458" s="141">
        <v>1</v>
      </c>
      <c r="M1458" s="141">
        <v>0</v>
      </c>
      <c r="N1458" s="141">
        <v>5000</v>
      </c>
      <c r="O1458" s="141" t="s">
        <v>4550</v>
      </c>
      <c r="P1458" s="141" t="s">
        <v>4737</v>
      </c>
    </row>
    <row r="1459" spans="1:16" ht="25.5">
      <c r="A1459" s="141">
        <v>76807</v>
      </c>
      <c r="B1459" s="141" t="s">
        <v>4325</v>
      </c>
      <c r="C1459" s="142">
        <v>41201</v>
      </c>
      <c r="D1459" s="141">
        <v>735</v>
      </c>
      <c r="E1459" s="141" t="str">
        <f t="shared" si="122"/>
        <v>001</v>
      </c>
      <c r="F1459" s="141" t="s">
        <v>4326</v>
      </c>
      <c r="G1459" s="141" t="str">
        <f t="shared" si="125"/>
        <v>1416</v>
      </c>
      <c r="H1459" s="141" t="s">
        <v>995</v>
      </c>
      <c r="I1459" s="141" t="str">
        <f t="shared" si="123"/>
        <v>999</v>
      </c>
      <c r="J1459" s="141" t="s">
        <v>4327</v>
      </c>
      <c r="K1459" s="141">
        <v>2335</v>
      </c>
      <c r="L1459" s="141">
        <v>1</v>
      </c>
      <c r="M1459" s="141">
        <v>0</v>
      </c>
      <c r="N1459" s="141">
        <v>5000</v>
      </c>
      <c r="O1459" s="141" t="s">
        <v>4550</v>
      </c>
      <c r="P1459" s="141" t="s">
        <v>4737</v>
      </c>
    </row>
    <row r="1460" spans="1:16" ht="25.5">
      <c r="A1460" s="141">
        <v>76807</v>
      </c>
      <c r="B1460" s="141" t="s">
        <v>4325</v>
      </c>
      <c r="C1460" s="142">
        <v>41201</v>
      </c>
      <c r="D1460" s="141">
        <v>735</v>
      </c>
      <c r="E1460" s="141" t="str">
        <f t="shared" si="122"/>
        <v>001</v>
      </c>
      <c r="F1460" s="141" t="s">
        <v>4326</v>
      </c>
      <c r="G1460" s="141" t="str">
        <f t="shared" si="125"/>
        <v>1416</v>
      </c>
      <c r="H1460" s="141" t="s">
        <v>995</v>
      </c>
      <c r="I1460" s="141" t="str">
        <f t="shared" si="123"/>
        <v>999</v>
      </c>
      <c r="J1460" s="141" t="s">
        <v>4327</v>
      </c>
      <c r="K1460" s="141">
        <v>2336</v>
      </c>
      <c r="L1460" s="141">
        <v>3</v>
      </c>
      <c r="M1460" s="141">
        <v>0</v>
      </c>
      <c r="N1460" s="141">
        <v>13000</v>
      </c>
      <c r="O1460" s="141" t="s">
        <v>4406</v>
      </c>
      <c r="P1460" s="141"/>
    </row>
    <row r="1461" spans="1:16" ht="25.5">
      <c r="A1461" s="141">
        <v>76807</v>
      </c>
      <c r="B1461" s="141" t="s">
        <v>4325</v>
      </c>
      <c r="C1461" s="142">
        <v>41201</v>
      </c>
      <c r="D1461" s="141">
        <v>735</v>
      </c>
      <c r="E1461" s="141" t="str">
        <f t="shared" si="122"/>
        <v>001</v>
      </c>
      <c r="F1461" s="141" t="s">
        <v>4326</v>
      </c>
      <c r="G1461" s="141" t="str">
        <f t="shared" si="125"/>
        <v>1416</v>
      </c>
      <c r="H1461" s="141" t="s">
        <v>995</v>
      </c>
      <c r="I1461" s="141" t="str">
        <f t="shared" si="123"/>
        <v>999</v>
      </c>
      <c r="J1461" s="141" t="s">
        <v>4327</v>
      </c>
      <c r="K1461" s="141">
        <v>2337</v>
      </c>
      <c r="L1461" s="141">
        <v>1</v>
      </c>
      <c r="M1461" s="141">
        <v>0</v>
      </c>
      <c r="N1461" s="141">
        <v>6000</v>
      </c>
      <c r="O1461" s="141" t="s">
        <v>4407</v>
      </c>
      <c r="P1461" s="141"/>
    </row>
    <row r="1462" spans="1:16" ht="25.5">
      <c r="A1462" s="141">
        <v>76807</v>
      </c>
      <c r="B1462" s="141" t="s">
        <v>4325</v>
      </c>
      <c r="C1462" s="142">
        <v>41201</v>
      </c>
      <c r="D1462" s="141">
        <v>735</v>
      </c>
      <c r="E1462" s="141" t="str">
        <f t="shared" si="122"/>
        <v>001</v>
      </c>
      <c r="F1462" s="141" t="s">
        <v>4326</v>
      </c>
      <c r="G1462" s="141" t="str">
        <f t="shared" si="125"/>
        <v>1416</v>
      </c>
      <c r="H1462" s="141" t="s">
        <v>995</v>
      </c>
      <c r="I1462" s="141" t="str">
        <f t="shared" si="123"/>
        <v>999</v>
      </c>
      <c r="J1462" s="141" t="s">
        <v>4327</v>
      </c>
      <c r="K1462" s="141">
        <v>2338</v>
      </c>
      <c r="L1462" s="141">
        <v>2</v>
      </c>
      <c r="M1462" s="141">
        <v>0</v>
      </c>
      <c r="N1462" s="141">
        <v>4000</v>
      </c>
      <c r="O1462" s="141" t="s">
        <v>4761</v>
      </c>
      <c r="P1462" s="141"/>
    </row>
    <row r="1463" spans="1:16" ht="25.5">
      <c r="A1463" s="141">
        <v>76807</v>
      </c>
      <c r="B1463" s="141" t="s">
        <v>4325</v>
      </c>
      <c r="C1463" s="142">
        <v>41201</v>
      </c>
      <c r="D1463" s="141">
        <v>385</v>
      </c>
      <c r="E1463" s="141" t="str">
        <f t="shared" si="122"/>
        <v>001</v>
      </c>
      <c r="F1463" s="141" t="s">
        <v>4326</v>
      </c>
      <c r="G1463" s="141" t="str">
        <f>"1417"</f>
        <v>1417</v>
      </c>
      <c r="H1463" s="141" t="s">
        <v>4762</v>
      </c>
      <c r="I1463" s="141" t="str">
        <f t="shared" si="123"/>
        <v>999</v>
      </c>
      <c r="J1463" s="141" t="s">
        <v>4327</v>
      </c>
      <c r="K1463" s="141">
        <v>981</v>
      </c>
      <c r="L1463" s="141">
        <v>1</v>
      </c>
      <c r="M1463" s="141">
        <v>0</v>
      </c>
      <c r="N1463" s="141">
        <v>6000</v>
      </c>
      <c r="O1463" s="141" t="s">
        <v>4399</v>
      </c>
      <c r="P1463" s="141" t="s">
        <v>4654</v>
      </c>
    </row>
    <row r="1464" spans="1:16" ht="25.5">
      <c r="A1464" s="141">
        <v>76807</v>
      </c>
      <c r="B1464" s="141" t="s">
        <v>4325</v>
      </c>
      <c r="C1464" s="142">
        <v>41201</v>
      </c>
      <c r="D1464" s="141">
        <v>385</v>
      </c>
      <c r="E1464" s="141" t="str">
        <f t="shared" si="122"/>
        <v>001</v>
      </c>
      <c r="F1464" s="141" t="s">
        <v>4326</v>
      </c>
      <c r="G1464" s="141" t="str">
        <f>"1417"</f>
        <v>1417</v>
      </c>
      <c r="H1464" s="141" t="s">
        <v>4762</v>
      </c>
      <c r="I1464" s="141" t="str">
        <f t="shared" si="123"/>
        <v>999</v>
      </c>
      <c r="J1464" s="141" t="s">
        <v>4327</v>
      </c>
      <c r="K1464" s="141">
        <v>982</v>
      </c>
      <c r="L1464" s="141">
        <v>1</v>
      </c>
      <c r="M1464" s="141">
        <v>0</v>
      </c>
      <c r="N1464" s="141">
        <v>112000</v>
      </c>
      <c r="O1464" s="141" t="s">
        <v>4366</v>
      </c>
      <c r="P1464" s="141" t="s">
        <v>4367</v>
      </c>
    </row>
    <row r="1465" spans="1:16" ht="25.5">
      <c r="A1465" s="141">
        <v>76807</v>
      </c>
      <c r="B1465" s="141" t="s">
        <v>4325</v>
      </c>
      <c r="C1465" s="142">
        <v>41201</v>
      </c>
      <c r="D1465" s="141">
        <v>385</v>
      </c>
      <c r="E1465" s="141" t="str">
        <f t="shared" si="122"/>
        <v>001</v>
      </c>
      <c r="F1465" s="141" t="s">
        <v>4326</v>
      </c>
      <c r="G1465" s="141" t="str">
        <f>"1417"</f>
        <v>1417</v>
      </c>
      <c r="H1465" s="141" t="s">
        <v>4762</v>
      </c>
      <c r="I1465" s="141" t="str">
        <f t="shared" si="123"/>
        <v>999</v>
      </c>
      <c r="J1465" s="141" t="s">
        <v>4327</v>
      </c>
      <c r="K1465" s="141">
        <v>983</v>
      </c>
      <c r="L1465" s="141">
        <v>1</v>
      </c>
      <c r="M1465" s="141">
        <v>0</v>
      </c>
      <c r="N1465" s="141">
        <v>9000</v>
      </c>
      <c r="O1465" s="141" t="s">
        <v>4763</v>
      </c>
      <c r="P1465" s="141" t="s">
        <v>4764</v>
      </c>
    </row>
    <row r="1466" spans="1:16" ht="25.5">
      <c r="A1466" s="141">
        <v>76807</v>
      </c>
      <c r="B1466" s="141" t="s">
        <v>4325</v>
      </c>
      <c r="C1466" s="142">
        <v>41201</v>
      </c>
      <c r="D1466" s="141">
        <v>341</v>
      </c>
      <c r="E1466" s="141" t="str">
        <f t="shared" si="122"/>
        <v>001</v>
      </c>
      <c r="F1466" s="141" t="s">
        <v>4326</v>
      </c>
      <c r="G1466" s="141" t="str">
        <f>"1419"</f>
        <v>1419</v>
      </c>
      <c r="H1466" s="141" t="s">
        <v>3024</v>
      </c>
      <c r="I1466" s="141" t="str">
        <f t="shared" si="123"/>
        <v>999</v>
      </c>
      <c r="J1466" s="141" t="s">
        <v>4327</v>
      </c>
      <c r="K1466" s="141">
        <v>542</v>
      </c>
      <c r="L1466" s="141">
        <v>1</v>
      </c>
      <c r="M1466" s="141">
        <v>0</v>
      </c>
      <c r="N1466" s="141">
        <v>1000</v>
      </c>
      <c r="O1466" s="141" t="s">
        <v>4382</v>
      </c>
      <c r="P1466" s="141" t="s">
        <v>4740</v>
      </c>
    </row>
    <row r="1467" spans="1:16" ht="25.5">
      <c r="A1467" s="141">
        <v>76807</v>
      </c>
      <c r="B1467" s="141" t="s">
        <v>4325</v>
      </c>
      <c r="C1467" s="142">
        <v>41201</v>
      </c>
      <c r="D1467" s="141">
        <v>341</v>
      </c>
      <c r="E1467" s="141" t="str">
        <f t="shared" si="122"/>
        <v>001</v>
      </c>
      <c r="F1467" s="141" t="s">
        <v>4326</v>
      </c>
      <c r="G1467" s="141" t="str">
        <f>"1419"</f>
        <v>1419</v>
      </c>
      <c r="H1467" s="141" t="s">
        <v>3024</v>
      </c>
      <c r="I1467" s="141" t="str">
        <f t="shared" si="123"/>
        <v>999</v>
      </c>
      <c r="J1467" s="141" t="s">
        <v>4327</v>
      </c>
      <c r="K1467" s="141">
        <v>543</v>
      </c>
      <c r="L1467" s="141">
        <v>1</v>
      </c>
      <c r="M1467" s="141">
        <v>0</v>
      </c>
      <c r="N1467" s="141">
        <v>2000</v>
      </c>
      <c r="O1467" s="141" t="s">
        <v>4382</v>
      </c>
      <c r="P1467" s="141" t="s">
        <v>4765</v>
      </c>
    </row>
    <row r="1468" spans="1:16" ht="25.5">
      <c r="A1468" s="141">
        <v>76807</v>
      </c>
      <c r="B1468" s="141" t="s">
        <v>4325</v>
      </c>
      <c r="C1468" s="142">
        <v>41201</v>
      </c>
      <c r="D1468" s="141">
        <v>341</v>
      </c>
      <c r="E1468" s="141" t="str">
        <f t="shared" si="122"/>
        <v>001</v>
      </c>
      <c r="F1468" s="141" t="s">
        <v>4326</v>
      </c>
      <c r="G1468" s="141" t="str">
        <f>"1419"</f>
        <v>1419</v>
      </c>
      <c r="H1468" s="141" t="s">
        <v>3024</v>
      </c>
      <c r="I1468" s="141" t="str">
        <f t="shared" si="123"/>
        <v>999</v>
      </c>
      <c r="J1468" s="141" t="s">
        <v>4327</v>
      </c>
      <c r="K1468" s="141">
        <v>544</v>
      </c>
      <c r="L1468" s="141">
        <v>1</v>
      </c>
      <c r="M1468" s="141">
        <v>0</v>
      </c>
      <c r="N1468" s="141">
        <v>6000</v>
      </c>
      <c r="O1468" s="141" t="s">
        <v>4439</v>
      </c>
      <c r="P1468" s="141" t="s">
        <v>4766</v>
      </c>
    </row>
    <row r="1469" spans="1:16" ht="25.5">
      <c r="A1469" s="141">
        <v>76807</v>
      </c>
      <c r="B1469" s="141" t="s">
        <v>4325</v>
      </c>
      <c r="C1469" s="142">
        <v>41201</v>
      </c>
      <c r="D1469" s="141">
        <v>341</v>
      </c>
      <c r="E1469" s="141" t="str">
        <f t="shared" si="122"/>
        <v>001</v>
      </c>
      <c r="F1469" s="141" t="s">
        <v>4326</v>
      </c>
      <c r="G1469" s="141" t="str">
        <f>"1419"</f>
        <v>1419</v>
      </c>
      <c r="H1469" s="141" t="s">
        <v>3024</v>
      </c>
      <c r="I1469" s="141" t="str">
        <f t="shared" si="123"/>
        <v>999</v>
      </c>
      <c r="J1469" s="141" t="s">
        <v>4327</v>
      </c>
      <c r="K1469" s="141">
        <v>545</v>
      </c>
      <c r="L1469" s="141">
        <v>6</v>
      </c>
      <c r="M1469" s="141">
        <v>0</v>
      </c>
      <c r="N1469" s="141">
        <v>14000</v>
      </c>
      <c r="O1469" s="141" t="s">
        <v>4339</v>
      </c>
      <c r="P1469" s="141" t="s">
        <v>4385</v>
      </c>
    </row>
    <row r="1470" spans="1:16" ht="25.5">
      <c r="A1470" s="141">
        <v>76807</v>
      </c>
      <c r="B1470" s="141" t="s">
        <v>4325</v>
      </c>
      <c r="C1470" s="142">
        <v>41201</v>
      </c>
      <c r="D1470" s="141">
        <v>341</v>
      </c>
      <c r="E1470" s="141" t="str">
        <f t="shared" si="122"/>
        <v>001</v>
      </c>
      <c r="F1470" s="141" t="s">
        <v>4326</v>
      </c>
      <c r="G1470" s="141" t="str">
        <f>"1419"</f>
        <v>1419</v>
      </c>
      <c r="H1470" s="141" t="s">
        <v>3024</v>
      </c>
      <c r="I1470" s="141" t="str">
        <f t="shared" si="123"/>
        <v>999</v>
      </c>
      <c r="J1470" s="141" t="s">
        <v>4327</v>
      </c>
      <c r="K1470" s="141">
        <v>546</v>
      </c>
      <c r="L1470" s="141">
        <v>5</v>
      </c>
      <c r="M1470" s="141">
        <v>0</v>
      </c>
      <c r="N1470" s="141">
        <v>3000</v>
      </c>
      <c r="O1470" s="141" t="s">
        <v>4350</v>
      </c>
      <c r="P1470" s="141"/>
    </row>
    <row r="1471" spans="1:16" ht="25.5">
      <c r="A1471" s="141">
        <v>76807</v>
      </c>
      <c r="B1471" s="141" t="s">
        <v>4325</v>
      </c>
      <c r="C1471" s="142">
        <v>41201</v>
      </c>
      <c r="D1471" s="141">
        <v>741</v>
      </c>
      <c r="E1471" s="141" t="str">
        <f t="shared" si="122"/>
        <v>001</v>
      </c>
      <c r="F1471" s="141" t="s">
        <v>4326</v>
      </c>
      <c r="G1471" s="141" t="str">
        <f t="shared" ref="G1471:G1482" si="126">"1420"</f>
        <v>1420</v>
      </c>
      <c r="H1471" s="141" t="s">
        <v>1000</v>
      </c>
      <c r="I1471" s="141" t="str">
        <f t="shared" si="123"/>
        <v>999</v>
      </c>
      <c r="J1471" s="141" t="s">
        <v>4327</v>
      </c>
      <c r="K1471" s="141">
        <v>2402</v>
      </c>
      <c r="L1471" s="141">
        <v>1</v>
      </c>
      <c r="M1471" s="141">
        <v>0</v>
      </c>
      <c r="N1471" s="141">
        <v>5000</v>
      </c>
      <c r="O1471" s="141" t="s">
        <v>4337</v>
      </c>
      <c r="P1471" s="141" t="s">
        <v>4767</v>
      </c>
    </row>
    <row r="1472" spans="1:16" ht="25.5">
      <c r="A1472" s="141">
        <v>76807</v>
      </c>
      <c r="B1472" s="141" t="s">
        <v>4325</v>
      </c>
      <c r="C1472" s="142">
        <v>41201</v>
      </c>
      <c r="D1472" s="141">
        <v>741</v>
      </c>
      <c r="E1472" s="141" t="str">
        <f t="shared" si="122"/>
        <v>001</v>
      </c>
      <c r="F1472" s="141" t="s">
        <v>4326</v>
      </c>
      <c r="G1472" s="141" t="str">
        <f t="shared" si="126"/>
        <v>1420</v>
      </c>
      <c r="H1472" s="141" t="s">
        <v>1000</v>
      </c>
      <c r="I1472" s="141" t="str">
        <f t="shared" si="123"/>
        <v>999</v>
      </c>
      <c r="J1472" s="141" t="s">
        <v>4327</v>
      </c>
      <c r="K1472" s="141">
        <v>2403</v>
      </c>
      <c r="L1472" s="141">
        <v>1</v>
      </c>
      <c r="M1472" s="141">
        <v>0</v>
      </c>
      <c r="N1472" s="141">
        <v>8000</v>
      </c>
      <c r="O1472" s="141" t="s">
        <v>4328</v>
      </c>
      <c r="P1472" s="141" t="s">
        <v>4707</v>
      </c>
    </row>
    <row r="1473" spans="1:16" ht="25.5">
      <c r="A1473" s="141">
        <v>76807</v>
      </c>
      <c r="B1473" s="141" t="s">
        <v>4325</v>
      </c>
      <c r="C1473" s="142">
        <v>41201</v>
      </c>
      <c r="D1473" s="141">
        <v>741</v>
      </c>
      <c r="E1473" s="141" t="str">
        <f t="shared" si="122"/>
        <v>001</v>
      </c>
      <c r="F1473" s="141" t="s">
        <v>4326</v>
      </c>
      <c r="G1473" s="141" t="str">
        <f t="shared" si="126"/>
        <v>1420</v>
      </c>
      <c r="H1473" s="141" t="s">
        <v>1000</v>
      </c>
      <c r="I1473" s="141" t="str">
        <f t="shared" si="123"/>
        <v>999</v>
      </c>
      <c r="J1473" s="141" t="s">
        <v>4327</v>
      </c>
      <c r="K1473" s="141">
        <v>2404</v>
      </c>
      <c r="L1473" s="141">
        <v>2</v>
      </c>
      <c r="M1473" s="141">
        <v>0</v>
      </c>
      <c r="N1473" s="141">
        <v>9000</v>
      </c>
      <c r="O1473" s="141" t="s">
        <v>4357</v>
      </c>
      <c r="P1473" s="141" t="s">
        <v>4362</v>
      </c>
    </row>
    <row r="1474" spans="1:16" ht="25.5">
      <c r="A1474" s="141">
        <v>76807</v>
      </c>
      <c r="B1474" s="141" t="s">
        <v>4325</v>
      </c>
      <c r="C1474" s="142">
        <v>41201</v>
      </c>
      <c r="D1474" s="141">
        <v>741</v>
      </c>
      <c r="E1474" s="141" t="str">
        <f t="shared" ref="E1474:E1537" si="127">"001"</f>
        <v>001</v>
      </c>
      <c r="F1474" s="141" t="s">
        <v>4326</v>
      </c>
      <c r="G1474" s="141" t="str">
        <f t="shared" si="126"/>
        <v>1420</v>
      </c>
      <c r="H1474" s="141" t="s">
        <v>1000</v>
      </c>
      <c r="I1474" s="141" t="str">
        <f t="shared" ref="I1474:I1537" si="128">"999"</f>
        <v>999</v>
      </c>
      <c r="J1474" s="141" t="s">
        <v>4327</v>
      </c>
      <c r="K1474" s="141">
        <v>2405</v>
      </c>
      <c r="L1474" s="141">
        <v>1</v>
      </c>
      <c r="M1474" s="141">
        <v>0</v>
      </c>
      <c r="N1474" s="141">
        <v>4000</v>
      </c>
      <c r="O1474" s="141" t="s">
        <v>4330</v>
      </c>
      <c r="P1474" s="141" t="s">
        <v>4348</v>
      </c>
    </row>
    <row r="1475" spans="1:16" ht="25.5">
      <c r="A1475" s="141">
        <v>76807</v>
      </c>
      <c r="B1475" s="141" t="s">
        <v>4325</v>
      </c>
      <c r="C1475" s="142">
        <v>41201</v>
      </c>
      <c r="D1475" s="141">
        <v>741</v>
      </c>
      <c r="E1475" s="141" t="str">
        <f t="shared" si="127"/>
        <v>001</v>
      </c>
      <c r="F1475" s="141" t="s">
        <v>4326</v>
      </c>
      <c r="G1475" s="141" t="str">
        <f t="shared" si="126"/>
        <v>1420</v>
      </c>
      <c r="H1475" s="141" t="s">
        <v>1000</v>
      </c>
      <c r="I1475" s="141" t="str">
        <f t="shared" si="128"/>
        <v>999</v>
      </c>
      <c r="J1475" s="141" t="s">
        <v>4327</v>
      </c>
      <c r="K1475" s="141">
        <v>2406</v>
      </c>
      <c r="L1475" s="141">
        <v>1</v>
      </c>
      <c r="M1475" s="141">
        <v>0</v>
      </c>
      <c r="N1475" s="141">
        <v>18000</v>
      </c>
      <c r="O1475" s="141" t="s">
        <v>4353</v>
      </c>
      <c r="P1475" s="141" t="s">
        <v>4768</v>
      </c>
    </row>
    <row r="1476" spans="1:16" ht="25.5">
      <c r="A1476" s="141">
        <v>76807</v>
      </c>
      <c r="B1476" s="141" t="s">
        <v>4325</v>
      </c>
      <c r="C1476" s="142">
        <v>41201</v>
      </c>
      <c r="D1476" s="141">
        <v>741</v>
      </c>
      <c r="E1476" s="141" t="str">
        <f t="shared" si="127"/>
        <v>001</v>
      </c>
      <c r="F1476" s="141" t="s">
        <v>4326</v>
      </c>
      <c r="G1476" s="141" t="str">
        <f t="shared" si="126"/>
        <v>1420</v>
      </c>
      <c r="H1476" s="141" t="s">
        <v>1000</v>
      </c>
      <c r="I1476" s="141" t="str">
        <f t="shared" si="128"/>
        <v>999</v>
      </c>
      <c r="J1476" s="141" t="s">
        <v>4327</v>
      </c>
      <c r="K1476" s="141">
        <v>2407</v>
      </c>
      <c r="L1476" s="141">
        <v>1</v>
      </c>
      <c r="M1476" s="141">
        <v>0</v>
      </c>
      <c r="N1476" s="141">
        <v>32000</v>
      </c>
      <c r="O1476" s="141" t="s">
        <v>4368</v>
      </c>
      <c r="P1476" s="141"/>
    </row>
    <row r="1477" spans="1:16" ht="25.5">
      <c r="A1477" s="141">
        <v>76807</v>
      </c>
      <c r="B1477" s="141" t="s">
        <v>4325</v>
      </c>
      <c r="C1477" s="142">
        <v>41201</v>
      </c>
      <c r="D1477" s="141">
        <v>741</v>
      </c>
      <c r="E1477" s="141" t="str">
        <f t="shared" si="127"/>
        <v>001</v>
      </c>
      <c r="F1477" s="141" t="s">
        <v>4326</v>
      </c>
      <c r="G1477" s="141" t="str">
        <f t="shared" si="126"/>
        <v>1420</v>
      </c>
      <c r="H1477" s="141" t="s">
        <v>1000</v>
      </c>
      <c r="I1477" s="141" t="str">
        <f t="shared" si="128"/>
        <v>999</v>
      </c>
      <c r="J1477" s="141" t="s">
        <v>4327</v>
      </c>
      <c r="K1477" s="141">
        <v>2408</v>
      </c>
      <c r="L1477" s="141">
        <v>1</v>
      </c>
      <c r="M1477" s="141">
        <v>0</v>
      </c>
      <c r="N1477" s="141">
        <v>3000</v>
      </c>
      <c r="O1477" s="141" t="s">
        <v>4369</v>
      </c>
      <c r="P1477" s="141" t="s">
        <v>4481</v>
      </c>
    </row>
    <row r="1478" spans="1:16" ht="25.5">
      <c r="A1478" s="141">
        <v>76807</v>
      </c>
      <c r="B1478" s="141" t="s">
        <v>4325</v>
      </c>
      <c r="C1478" s="142">
        <v>41201</v>
      </c>
      <c r="D1478" s="141">
        <v>741</v>
      </c>
      <c r="E1478" s="141" t="str">
        <f t="shared" si="127"/>
        <v>001</v>
      </c>
      <c r="F1478" s="141" t="s">
        <v>4326</v>
      </c>
      <c r="G1478" s="141" t="str">
        <f t="shared" si="126"/>
        <v>1420</v>
      </c>
      <c r="H1478" s="141" t="s">
        <v>1000</v>
      </c>
      <c r="I1478" s="141" t="str">
        <f t="shared" si="128"/>
        <v>999</v>
      </c>
      <c r="J1478" s="141" t="s">
        <v>4327</v>
      </c>
      <c r="K1478" s="141">
        <v>2409</v>
      </c>
      <c r="L1478" s="141">
        <v>1</v>
      </c>
      <c r="M1478" s="141">
        <v>0</v>
      </c>
      <c r="N1478" s="141">
        <v>2000</v>
      </c>
      <c r="O1478" s="141" t="s">
        <v>4345</v>
      </c>
      <c r="P1478" s="141"/>
    </row>
    <row r="1479" spans="1:16" ht="25.5">
      <c r="A1479" s="141">
        <v>76807</v>
      </c>
      <c r="B1479" s="141" t="s">
        <v>4325</v>
      </c>
      <c r="C1479" s="142">
        <v>41201</v>
      </c>
      <c r="D1479" s="141">
        <v>741</v>
      </c>
      <c r="E1479" s="141" t="str">
        <f t="shared" si="127"/>
        <v>001</v>
      </c>
      <c r="F1479" s="141" t="s">
        <v>4326</v>
      </c>
      <c r="G1479" s="141" t="str">
        <f t="shared" si="126"/>
        <v>1420</v>
      </c>
      <c r="H1479" s="141" t="s">
        <v>1000</v>
      </c>
      <c r="I1479" s="141" t="str">
        <f t="shared" si="128"/>
        <v>999</v>
      </c>
      <c r="J1479" s="141" t="s">
        <v>4327</v>
      </c>
      <c r="K1479" s="141">
        <v>2410</v>
      </c>
      <c r="L1479" s="141">
        <v>3</v>
      </c>
      <c r="M1479" s="141">
        <v>0</v>
      </c>
      <c r="N1479" s="141">
        <v>2000</v>
      </c>
      <c r="O1479" s="141" t="s">
        <v>4343</v>
      </c>
      <c r="P1479" s="141"/>
    </row>
    <row r="1480" spans="1:16" ht="25.5">
      <c r="A1480" s="141">
        <v>76807</v>
      </c>
      <c r="B1480" s="141" t="s">
        <v>4325</v>
      </c>
      <c r="C1480" s="142">
        <v>41201</v>
      </c>
      <c r="D1480" s="141">
        <v>741</v>
      </c>
      <c r="E1480" s="141" t="str">
        <f t="shared" si="127"/>
        <v>001</v>
      </c>
      <c r="F1480" s="141" t="s">
        <v>4326</v>
      </c>
      <c r="G1480" s="141" t="str">
        <f t="shared" si="126"/>
        <v>1420</v>
      </c>
      <c r="H1480" s="141" t="s">
        <v>1000</v>
      </c>
      <c r="I1480" s="141" t="str">
        <f t="shared" si="128"/>
        <v>999</v>
      </c>
      <c r="J1480" s="141" t="s">
        <v>4327</v>
      </c>
      <c r="K1480" s="141">
        <v>2411</v>
      </c>
      <c r="L1480" s="141">
        <v>3</v>
      </c>
      <c r="M1480" s="141">
        <v>0</v>
      </c>
      <c r="N1480" s="141">
        <v>7000</v>
      </c>
      <c r="O1480" s="141" t="s">
        <v>4347</v>
      </c>
      <c r="P1480" s="141"/>
    </row>
    <row r="1481" spans="1:16" ht="25.5">
      <c r="A1481" s="141">
        <v>76807</v>
      </c>
      <c r="B1481" s="141" t="s">
        <v>4325</v>
      </c>
      <c r="C1481" s="142">
        <v>41201</v>
      </c>
      <c r="D1481" s="141">
        <v>741</v>
      </c>
      <c r="E1481" s="141" t="str">
        <f t="shared" si="127"/>
        <v>001</v>
      </c>
      <c r="F1481" s="141" t="s">
        <v>4326</v>
      </c>
      <c r="G1481" s="141" t="str">
        <f t="shared" si="126"/>
        <v>1420</v>
      </c>
      <c r="H1481" s="141" t="s">
        <v>1000</v>
      </c>
      <c r="I1481" s="141" t="str">
        <f t="shared" si="128"/>
        <v>999</v>
      </c>
      <c r="J1481" s="141" t="s">
        <v>4327</v>
      </c>
      <c r="K1481" s="141">
        <v>2412</v>
      </c>
      <c r="L1481" s="141">
        <v>1</v>
      </c>
      <c r="M1481" s="141">
        <v>0</v>
      </c>
      <c r="N1481" s="141">
        <v>4000</v>
      </c>
      <c r="O1481" s="141" t="s">
        <v>4406</v>
      </c>
      <c r="P1481" s="141"/>
    </row>
    <row r="1482" spans="1:16" ht="25.5">
      <c r="A1482" s="141">
        <v>76807</v>
      </c>
      <c r="B1482" s="141" t="s">
        <v>4325</v>
      </c>
      <c r="C1482" s="142">
        <v>41201</v>
      </c>
      <c r="D1482" s="141">
        <v>741</v>
      </c>
      <c r="E1482" s="141" t="str">
        <f t="shared" si="127"/>
        <v>001</v>
      </c>
      <c r="F1482" s="141" t="s">
        <v>4326</v>
      </c>
      <c r="G1482" s="141" t="str">
        <f t="shared" si="126"/>
        <v>1420</v>
      </c>
      <c r="H1482" s="141" t="s">
        <v>1000</v>
      </c>
      <c r="I1482" s="141" t="str">
        <f t="shared" si="128"/>
        <v>999</v>
      </c>
      <c r="J1482" s="141" t="s">
        <v>4327</v>
      </c>
      <c r="K1482" s="141">
        <v>2413</v>
      </c>
      <c r="L1482" s="141">
        <v>1</v>
      </c>
      <c r="M1482" s="141">
        <v>0</v>
      </c>
      <c r="N1482" s="141">
        <v>4000</v>
      </c>
      <c r="O1482" s="141" t="s">
        <v>4535</v>
      </c>
      <c r="P1482" s="141"/>
    </row>
    <row r="1483" spans="1:16" ht="25.5">
      <c r="A1483" s="141">
        <v>76807</v>
      </c>
      <c r="B1483" s="141" t="s">
        <v>4325</v>
      </c>
      <c r="C1483" s="142">
        <v>41201</v>
      </c>
      <c r="D1483" s="141">
        <v>744</v>
      </c>
      <c r="E1483" s="141" t="str">
        <f t="shared" si="127"/>
        <v>001</v>
      </c>
      <c r="F1483" s="141" t="s">
        <v>4326</v>
      </c>
      <c r="G1483" s="141" t="str">
        <f t="shared" ref="G1483:G1501" si="129">"1422"</f>
        <v>1422</v>
      </c>
      <c r="H1483" s="141" t="s">
        <v>3339</v>
      </c>
      <c r="I1483" s="141" t="str">
        <f t="shared" si="128"/>
        <v>999</v>
      </c>
      <c r="J1483" s="141" t="s">
        <v>4327</v>
      </c>
      <c r="K1483" s="141">
        <v>2457</v>
      </c>
      <c r="L1483" s="141">
        <v>1</v>
      </c>
      <c r="M1483" s="141">
        <v>0</v>
      </c>
      <c r="N1483" s="141">
        <v>17000</v>
      </c>
      <c r="O1483" s="141" t="s">
        <v>4337</v>
      </c>
      <c r="P1483" s="141" t="s">
        <v>4474</v>
      </c>
    </row>
    <row r="1484" spans="1:16" ht="25.5">
      <c r="A1484" s="141">
        <v>76807</v>
      </c>
      <c r="B1484" s="141" t="s">
        <v>4325</v>
      </c>
      <c r="C1484" s="142">
        <v>41201</v>
      </c>
      <c r="D1484" s="141">
        <v>744</v>
      </c>
      <c r="E1484" s="141" t="str">
        <f t="shared" si="127"/>
        <v>001</v>
      </c>
      <c r="F1484" s="141" t="s">
        <v>4326</v>
      </c>
      <c r="G1484" s="141" t="str">
        <f t="shared" si="129"/>
        <v>1422</v>
      </c>
      <c r="H1484" s="141" t="s">
        <v>3339</v>
      </c>
      <c r="I1484" s="141" t="str">
        <f t="shared" si="128"/>
        <v>999</v>
      </c>
      <c r="J1484" s="141" t="s">
        <v>4327</v>
      </c>
      <c r="K1484" s="141">
        <v>2458</v>
      </c>
      <c r="L1484" s="141">
        <v>1</v>
      </c>
      <c r="M1484" s="141">
        <v>0</v>
      </c>
      <c r="N1484" s="141">
        <v>50000</v>
      </c>
      <c r="O1484" s="141" t="s">
        <v>4388</v>
      </c>
      <c r="P1484" s="141" t="s">
        <v>4769</v>
      </c>
    </row>
    <row r="1485" spans="1:16" ht="25.5">
      <c r="A1485" s="141">
        <v>76807</v>
      </c>
      <c r="B1485" s="141" t="s">
        <v>4325</v>
      </c>
      <c r="C1485" s="142">
        <v>41201</v>
      </c>
      <c r="D1485" s="141">
        <v>744</v>
      </c>
      <c r="E1485" s="141" t="str">
        <f t="shared" si="127"/>
        <v>001</v>
      </c>
      <c r="F1485" s="141" t="s">
        <v>4326</v>
      </c>
      <c r="G1485" s="141" t="str">
        <f t="shared" si="129"/>
        <v>1422</v>
      </c>
      <c r="H1485" s="141" t="s">
        <v>3339</v>
      </c>
      <c r="I1485" s="141" t="str">
        <f t="shared" si="128"/>
        <v>999</v>
      </c>
      <c r="J1485" s="141" t="s">
        <v>4327</v>
      </c>
      <c r="K1485" s="141">
        <v>2459</v>
      </c>
      <c r="L1485" s="141">
        <v>3</v>
      </c>
      <c r="M1485" s="141">
        <v>0</v>
      </c>
      <c r="N1485" s="141">
        <v>23000</v>
      </c>
      <c r="O1485" s="141" t="s">
        <v>4357</v>
      </c>
      <c r="P1485" s="141" t="s">
        <v>4562</v>
      </c>
    </row>
    <row r="1486" spans="1:16" ht="25.5">
      <c r="A1486" s="141">
        <v>76807</v>
      </c>
      <c r="B1486" s="141" t="s">
        <v>4325</v>
      </c>
      <c r="C1486" s="142">
        <v>41201</v>
      </c>
      <c r="D1486" s="141">
        <v>744</v>
      </c>
      <c r="E1486" s="141" t="str">
        <f t="shared" si="127"/>
        <v>001</v>
      </c>
      <c r="F1486" s="141" t="s">
        <v>4326</v>
      </c>
      <c r="G1486" s="141" t="str">
        <f t="shared" si="129"/>
        <v>1422</v>
      </c>
      <c r="H1486" s="141" t="s">
        <v>3339</v>
      </c>
      <c r="I1486" s="141" t="str">
        <f t="shared" si="128"/>
        <v>999</v>
      </c>
      <c r="J1486" s="141" t="s">
        <v>4327</v>
      </c>
      <c r="K1486" s="141">
        <v>2460</v>
      </c>
      <c r="L1486" s="141">
        <v>2</v>
      </c>
      <c r="M1486" s="141">
        <v>0</v>
      </c>
      <c r="N1486" s="141">
        <v>16000</v>
      </c>
      <c r="O1486" s="141" t="s">
        <v>4357</v>
      </c>
      <c r="P1486" s="141" t="s">
        <v>4561</v>
      </c>
    </row>
    <row r="1487" spans="1:16" ht="25.5">
      <c r="A1487" s="141">
        <v>76807</v>
      </c>
      <c r="B1487" s="141" t="s">
        <v>4325</v>
      </c>
      <c r="C1487" s="142">
        <v>41201</v>
      </c>
      <c r="D1487" s="141">
        <v>744</v>
      </c>
      <c r="E1487" s="141" t="str">
        <f t="shared" si="127"/>
        <v>001</v>
      </c>
      <c r="F1487" s="141" t="s">
        <v>4326</v>
      </c>
      <c r="G1487" s="141" t="str">
        <f t="shared" si="129"/>
        <v>1422</v>
      </c>
      <c r="H1487" s="141" t="s">
        <v>3339</v>
      </c>
      <c r="I1487" s="141" t="str">
        <f t="shared" si="128"/>
        <v>999</v>
      </c>
      <c r="J1487" s="141" t="s">
        <v>4327</v>
      </c>
      <c r="K1487" s="141">
        <v>2461</v>
      </c>
      <c r="L1487" s="141">
        <v>5</v>
      </c>
      <c r="M1487" s="141">
        <v>0</v>
      </c>
      <c r="N1487" s="141">
        <v>45000</v>
      </c>
      <c r="O1487" s="141" t="s">
        <v>4357</v>
      </c>
      <c r="P1487" s="141" t="s">
        <v>4360</v>
      </c>
    </row>
    <row r="1488" spans="1:16" ht="25.5">
      <c r="A1488" s="141">
        <v>76807</v>
      </c>
      <c r="B1488" s="141" t="s">
        <v>4325</v>
      </c>
      <c r="C1488" s="142">
        <v>41201</v>
      </c>
      <c r="D1488" s="141">
        <v>744</v>
      </c>
      <c r="E1488" s="141" t="str">
        <f t="shared" si="127"/>
        <v>001</v>
      </c>
      <c r="F1488" s="141" t="s">
        <v>4326</v>
      </c>
      <c r="G1488" s="141" t="str">
        <f t="shared" si="129"/>
        <v>1422</v>
      </c>
      <c r="H1488" s="141" t="s">
        <v>3339</v>
      </c>
      <c r="I1488" s="141" t="str">
        <f t="shared" si="128"/>
        <v>999</v>
      </c>
      <c r="J1488" s="141" t="s">
        <v>4327</v>
      </c>
      <c r="K1488" s="141">
        <v>2462</v>
      </c>
      <c r="L1488" s="141">
        <v>2</v>
      </c>
      <c r="M1488" s="141">
        <v>0</v>
      </c>
      <c r="N1488" s="141">
        <v>19000</v>
      </c>
      <c r="O1488" s="141" t="s">
        <v>4357</v>
      </c>
      <c r="P1488" s="141" t="s">
        <v>4608</v>
      </c>
    </row>
    <row r="1489" spans="1:16" ht="25.5">
      <c r="A1489" s="141">
        <v>76807</v>
      </c>
      <c r="B1489" s="141" t="s">
        <v>4325</v>
      </c>
      <c r="C1489" s="142">
        <v>41201</v>
      </c>
      <c r="D1489" s="141">
        <v>744</v>
      </c>
      <c r="E1489" s="141" t="str">
        <f t="shared" si="127"/>
        <v>001</v>
      </c>
      <c r="F1489" s="141" t="s">
        <v>4326</v>
      </c>
      <c r="G1489" s="141" t="str">
        <f t="shared" si="129"/>
        <v>1422</v>
      </c>
      <c r="H1489" s="141" t="s">
        <v>3339</v>
      </c>
      <c r="I1489" s="141" t="str">
        <f t="shared" si="128"/>
        <v>999</v>
      </c>
      <c r="J1489" s="141" t="s">
        <v>4327</v>
      </c>
      <c r="K1489" s="141">
        <v>2463</v>
      </c>
      <c r="L1489" s="141">
        <v>1</v>
      </c>
      <c r="M1489" s="141">
        <v>0</v>
      </c>
      <c r="N1489" s="141">
        <v>11000</v>
      </c>
      <c r="O1489" s="141" t="s">
        <v>4357</v>
      </c>
      <c r="P1489" s="141" t="s">
        <v>4358</v>
      </c>
    </row>
    <row r="1490" spans="1:16" ht="25.5">
      <c r="A1490" s="141">
        <v>76807</v>
      </c>
      <c r="B1490" s="141" t="s">
        <v>4325</v>
      </c>
      <c r="C1490" s="142">
        <v>41201</v>
      </c>
      <c r="D1490" s="141">
        <v>744</v>
      </c>
      <c r="E1490" s="141" t="str">
        <f t="shared" si="127"/>
        <v>001</v>
      </c>
      <c r="F1490" s="141" t="s">
        <v>4326</v>
      </c>
      <c r="G1490" s="141" t="str">
        <f t="shared" si="129"/>
        <v>1422</v>
      </c>
      <c r="H1490" s="141" t="s">
        <v>3339</v>
      </c>
      <c r="I1490" s="141" t="str">
        <f t="shared" si="128"/>
        <v>999</v>
      </c>
      <c r="J1490" s="141" t="s">
        <v>4327</v>
      </c>
      <c r="K1490" s="141">
        <v>2464</v>
      </c>
      <c r="L1490" s="141">
        <v>1</v>
      </c>
      <c r="M1490" s="141">
        <v>0</v>
      </c>
      <c r="N1490" s="141">
        <v>3000</v>
      </c>
      <c r="O1490" s="141" t="s">
        <v>4364</v>
      </c>
      <c r="P1490" s="141" t="s">
        <v>4365</v>
      </c>
    </row>
    <row r="1491" spans="1:16" ht="25.5">
      <c r="A1491" s="141">
        <v>76807</v>
      </c>
      <c r="B1491" s="141" t="s">
        <v>4325</v>
      </c>
      <c r="C1491" s="142">
        <v>41201</v>
      </c>
      <c r="D1491" s="141">
        <v>744</v>
      </c>
      <c r="E1491" s="141" t="str">
        <f t="shared" si="127"/>
        <v>001</v>
      </c>
      <c r="F1491" s="141" t="s">
        <v>4326</v>
      </c>
      <c r="G1491" s="141" t="str">
        <f t="shared" si="129"/>
        <v>1422</v>
      </c>
      <c r="H1491" s="141" t="s">
        <v>3339</v>
      </c>
      <c r="I1491" s="141" t="str">
        <f t="shared" si="128"/>
        <v>999</v>
      </c>
      <c r="J1491" s="141" t="s">
        <v>4327</v>
      </c>
      <c r="K1491" s="141">
        <v>2465</v>
      </c>
      <c r="L1491" s="141">
        <v>1</v>
      </c>
      <c r="M1491" s="141">
        <v>0</v>
      </c>
      <c r="N1491" s="141">
        <v>3000</v>
      </c>
      <c r="O1491" s="141" t="s">
        <v>4364</v>
      </c>
      <c r="P1491" s="141" t="s">
        <v>4365</v>
      </c>
    </row>
    <row r="1492" spans="1:16" ht="25.5">
      <c r="A1492" s="141">
        <v>76807</v>
      </c>
      <c r="B1492" s="141" t="s">
        <v>4325</v>
      </c>
      <c r="C1492" s="142">
        <v>41201</v>
      </c>
      <c r="D1492" s="141">
        <v>744</v>
      </c>
      <c r="E1492" s="141" t="str">
        <f t="shared" si="127"/>
        <v>001</v>
      </c>
      <c r="F1492" s="141" t="s">
        <v>4326</v>
      </c>
      <c r="G1492" s="141" t="str">
        <f t="shared" si="129"/>
        <v>1422</v>
      </c>
      <c r="H1492" s="141" t="s">
        <v>3339</v>
      </c>
      <c r="I1492" s="141" t="str">
        <f t="shared" si="128"/>
        <v>999</v>
      </c>
      <c r="J1492" s="141" t="s">
        <v>4327</v>
      </c>
      <c r="K1492" s="141">
        <v>2466</v>
      </c>
      <c r="L1492" s="141">
        <v>1</v>
      </c>
      <c r="M1492" s="141">
        <v>0</v>
      </c>
      <c r="N1492" s="141">
        <v>6000</v>
      </c>
      <c r="O1492" s="141" t="s">
        <v>4364</v>
      </c>
      <c r="P1492" s="141" t="s">
        <v>4770</v>
      </c>
    </row>
    <row r="1493" spans="1:16" ht="25.5">
      <c r="A1493" s="141">
        <v>76807</v>
      </c>
      <c r="B1493" s="141" t="s">
        <v>4325</v>
      </c>
      <c r="C1493" s="142">
        <v>41201</v>
      </c>
      <c r="D1493" s="141">
        <v>744</v>
      </c>
      <c r="E1493" s="141" t="str">
        <f t="shared" si="127"/>
        <v>001</v>
      </c>
      <c r="F1493" s="141" t="s">
        <v>4326</v>
      </c>
      <c r="G1493" s="141" t="str">
        <f t="shared" si="129"/>
        <v>1422</v>
      </c>
      <c r="H1493" s="141" t="s">
        <v>3339</v>
      </c>
      <c r="I1493" s="141" t="str">
        <f t="shared" si="128"/>
        <v>999</v>
      </c>
      <c r="J1493" s="141" t="s">
        <v>4327</v>
      </c>
      <c r="K1493" s="141">
        <v>2467</v>
      </c>
      <c r="L1493" s="141">
        <v>1</v>
      </c>
      <c r="M1493" s="141">
        <v>0</v>
      </c>
      <c r="N1493" s="141">
        <v>46000</v>
      </c>
      <c r="O1493" s="141" t="s">
        <v>4368</v>
      </c>
      <c r="P1493" s="141"/>
    </row>
    <row r="1494" spans="1:16" ht="25.5">
      <c r="A1494" s="141">
        <v>76807</v>
      </c>
      <c r="B1494" s="141" t="s">
        <v>4325</v>
      </c>
      <c r="C1494" s="142">
        <v>41201</v>
      </c>
      <c r="D1494" s="141">
        <v>744</v>
      </c>
      <c r="E1494" s="141" t="str">
        <f t="shared" si="127"/>
        <v>001</v>
      </c>
      <c r="F1494" s="141" t="s">
        <v>4326</v>
      </c>
      <c r="G1494" s="141" t="str">
        <f t="shared" si="129"/>
        <v>1422</v>
      </c>
      <c r="H1494" s="141" t="s">
        <v>3339</v>
      </c>
      <c r="I1494" s="141" t="str">
        <f t="shared" si="128"/>
        <v>999</v>
      </c>
      <c r="J1494" s="141" t="s">
        <v>4327</v>
      </c>
      <c r="K1494" s="141">
        <v>2468</v>
      </c>
      <c r="L1494" s="141">
        <v>1</v>
      </c>
      <c r="M1494" s="141">
        <v>0</v>
      </c>
      <c r="N1494" s="141">
        <v>7000</v>
      </c>
      <c r="O1494" s="141" t="s">
        <v>4369</v>
      </c>
      <c r="P1494" s="141" t="s">
        <v>4771</v>
      </c>
    </row>
    <row r="1495" spans="1:16" ht="25.5">
      <c r="A1495" s="141">
        <v>76807</v>
      </c>
      <c r="B1495" s="141" t="s">
        <v>4325</v>
      </c>
      <c r="C1495" s="142">
        <v>41201</v>
      </c>
      <c r="D1495" s="141">
        <v>744</v>
      </c>
      <c r="E1495" s="141" t="str">
        <f t="shared" si="127"/>
        <v>001</v>
      </c>
      <c r="F1495" s="141" t="s">
        <v>4326</v>
      </c>
      <c r="G1495" s="141" t="str">
        <f t="shared" si="129"/>
        <v>1422</v>
      </c>
      <c r="H1495" s="141" t="s">
        <v>3339</v>
      </c>
      <c r="I1495" s="141" t="str">
        <f t="shared" si="128"/>
        <v>999</v>
      </c>
      <c r="J1495" s="141" t="s">
        <v>4327</v>
      </c>
      <c r="K1495" s="141">
        <v>2469</v>
      </c>
      <c r="L1495" s="141">
        <v>2</v>
      </c>
      <c r="M1495" s="141">
        <v>0</v>
      </c>
      <c r="N1495" s="141">
        <v>5000</v>
      </c>
      <c r="O1495" s="141" t="s">
        <v>4347</v>
      </c>
      <c r="P1495" s="141"/>
    </row>
    <row r="1496" spans="1:16" ht="25.5">
      <c r="A1496" s="141">
        <v>76807</v>
      </c>
      <c r="B1496" s="141" t="s">
        <v>4325</v>
      </c>
      <c r="C1496" s="142">
        <v>41201</v>
      </c>
      <c r="D1496" s="141">
        <v>744</v>
      </c>
      <c r="E1496" s="141" t="str">
        <f t="shared" si="127"/>
        <v>001</v>
      </c>
      <c r="F1496" s="141" t="s">
        <v>4326</v>
      </c>
      <c r="G1496" s="141" t="str">
        <f t="shared" si="129"/>
        <v>1422</v>
      </c>
      <c r="H1496" s="141" t="s">
        <v>3339</v>
      </c>
      <c r="I1496" s="141" t="str">
        <f t="shared" si="128"/>
        <v>999</v>
      </c>
      <c r="J1496" s="141" t="s">
        <v>4327</v>
      </c>
      <c r="K1496" s="141">
        <v>2470</v>
      </c>
      <c r="L1496" s="141">
        <v>2</v>
      </c>
      <c r="M1496" s="141">
        <v>0</v>
      </c>
      <c r="N1496" s="141">
        <v>9000</v>
      </c>
      <c r="O1496" s="141" t="s">
        <v>4406</v>
      </c>
      <c r="P1496" s="141"/>
    </row>
    <row r="1497" spans="1:16" ht="25.5">
      <c r="A1497" s="141">
        <v>76807</v>
      </c>
      <c r="B1497" s="141" t="s">
        <v>4325</v>
      </c>
      <c r="C1497" s="142">
        <v>41201</v>
      </c>
      <c r="D1497" s="141">
        <v>744</v>
      </c>
      <c r="E1497" s="141" t="str">
        <f t="shared" si="127"/>
        <v>001</v>
      </c>
      <c r="F1497" s="141" t="s">
        <v>4326</v>
      </c>
      <c r="G1497" s="141" t="str">
        <f t="shared" si="129"/>
        <v>1422</v>
      </c>
      <c r="H1497" s="141" t="s">
        <v>3339</v>
      </c>
      <c r="I1497" s="141" t="str">
        <f t="shared" si="128"/>
        <v>999</v>
      </c>
      <c r="J1497" s="141" t="s">
        <v>4327</v>
      </c>
      <c r="K1497" s="141">
        <v>2471</v>
      </c>
      <c r="L1497" s="141">
        <v>1</v>
      </c>
      <c r="M1497" s="141">
        <v>0</v>
      </c>
      <c r="N1497" s="141">
        <v>9000</v>
      </c>
      <c r="O1497" s="141" t="s">
        <v>4580</v>
      </c>
      <c r="P1497" s="141"/>
    </row>
    <row r="1498" spans="1:16" ht="25.5">
      <c r="A1498" s="141">
        <v>76807</v>
      </c>
      <c r="B1498" s="141" t="s">
        <v>4325</v>
      </c>
      <c r="C1498" s="142">
        <v>41201</v>
      </c>
      <c r="D1498" s="141">
        <v>744</v>
      </c>
      <c r="E1498" s="141" t="str">
        <f t="shared" si="127"/>
        <v>001</v>
      </c>
      <c r="F1498" s="141" t="s">
        <v>4326</v>
      </c>
      <c r="G1498" s="141" t="str">
        <f t="shared" si="129"/>
        <v>1422</v>
      </c>
      <c r="H1498" s="141" t="s">
        <v>3339</v>
      </c>
      <c r="I1498" s="141" t="str">
        <f t="shared" si="128"/>
        <v>999</v>
      </c>
      <c r="J1498" s="141" t="s">
        <v>4327</v>
      </c>
      <c r="K1498" s="141">
        <v>2472</v>
      </c>
      <c r="L1498" s="141">
        <v>1</v>
      </c>
      <c r="M1498" s="141">
        <v>0</v>
      </c>
      <c r="N1498" s="141">
        <v>4000</v>
      </c>
      <c r="O1498" s="141" t="s">
        <v>4371</v>
      </c>
      <c r="P1498" s="141" t="s">
        <v>4372</v>
      </c>
    </row>
    <row r="1499" spans="1:16" ht="25.5">
      <c r="A1499" s="141">
        <v>76807</v>
      </c>
      <c r="B1499" s="141" t="s">
        <v>4325</v>
      </c>
      <c r="C1499" s="142">
        <v>41201</v>
      </c>
      <c r="D1499" s="141">
        <v>744</v>
      </c>
      <c r="E1499" s="141" t="str">
        <f t="shared" si="127"/>
        <v>001</v>
      </c>
      <c r="F1499" s="141" t="s">
        <v>4326</v>
      </c>
      <c r="G1499" s="141" t="str">
        <f t="shared" si="129"/>
        <v>1422</v>
      </c>
      <c r="H1499" s="141" t="s">
        <v>3339</v>
      </c>
      <c r="I1499" s="141" t="str">
        <f t="shared" si="128"/>
        <v>999</v>
      </c>
      <c r="J1499" s="141" t="s">
        <v>4327</v>
      </c>
      <c r="K1499" s="141">
        <v>2473</v>
      </c>
      <c r="L1499" s="141">
        <v>1</v>
      </c>
      <c r="M1499" s="141">
        <v>0</v>
      </c>
      <c r="N1499" s="141">
        <v>4000</v>
      </c>
      <c r="O1499" s="141" t="s">
        <v>4371</v>
      </c>
      <c r="P1499" s="141" t="s">
        <v>4372</v>
      </c>
    </row>
    <row r="1500" spans="1:16" ht="25.5">
      <c r="A1500" s="141">
        <v>76807</v>
      </c>
      <c r="B1500" s="141" t="s">
        <v>4325</v>
      </c>
      <c r="C1500" s="142">
        <v>41201</v>
      </c>
      <c r="D1500" s="141">
        <v>744</v>
      </c>
      <c r="E1500" s="141" t="str">
        <f t="shared" si="127"/>
        <v>001</v>
      </c>
      <c r="F1500" s="141" t="s">
        <v>4326</v>
      </c>
      <c r="G1500" s="141" t="str">
        <f t="shared" si="129"/>
        <v>1422</v>
      </c>
      <c r="H1500" s="141" t="s">
        <v>3339</v>
      </c>
      <c r="I1500" s="141" t="str">
        <f t="shared" si="128"/>
        <v>999</v>
      </c>
      <c r="J1500" s="141" t="s">
        <v>4327</v>
      </c>
      <c r="K1500" s="141">
        <v>2474</v>
      </c>
      <c r="L1500" s="141">
        <v>1</v>
      </c>
      <c r="M1500" s="141">
        <v>0</v>
      </c>
      <c r="N1500" s="141">
        <v>9000</v>
      </c>
      <c r="O1500" s="141" t="s">
        <v>4550</v>
      </c>
      <c r="P1500" s="141" t="s">
        <v>4372</v>
      </c>
    </row>
    <row r="1501" spans="1:16" ht="25.5">
      <c r="A1501" s="141">
        <v>76807</v>
      </c>
      <c r="B1501" s="141" t="s">
        <v>4325</v>
      </c>
      <c r="C1501" s="142">
        <v>41201</v>
      </c>
      <c r="D1501" s="141">
        <v>744</v>
      </c>
      <c r="E1501" s="141" t="str">
        <f t="shared" si="127"/>
        <v>001</v>
      </c>
      <c r="F1501" s="141" t="s">
        <v>4326</v>
      </c>
      <c r="G1501" s="141" t="str">
        <f t="shared" si="129"/>
        <v>1422</v>
      </c>
      <c r="H1501" s="141" t="s">
        <v>3339</v>
      </c>
      <c r="I1501" s="141" t="str">
        <f t="shared" si="128"/>
        <v>999</v>
      </c>
      <c r="J1501" s="141" t="s">
        <v>4327</v>
      </c>
      <c r="K1501" s="141">
        <v>2475</v>
      </c>
      <c r="L1501" s="141">
        <v>1</v>
      </c>
      <c r="M1501" s="141">
        <v>0</v>
      </c>
      <c r="N1501" s="141">
        <v>9000</v>
      </c>
      <c r="O1501" s="141" t="s">
        <v>4550</v>
      </c>
      <c r="P1501" s="141" t="s">
        <v>4372</v>
      </c>
    </row>
    <row r="1502" spans="1:16" ht="25.5">
      <c r="A1502" s="141">
        <v>76807</v>
      </c>
      <c r="B1502" s="141" t="s">
        <v>4325</v>
      </c>
      <c r="C1502" s="142">
        <v>41201</v>
      </c>
      <c r="D1502" s="141">
        <v>1187</v>
      </c>
      <c r="E1502" s="141" t="str">
        <f t="shared" si="127"/>
        <v>001</v>
      </c>
      <c r="F1502" s="141" t="s">
        <v>4326</v>
      </c>
      <c r="G1502" s="141" t="str">
        <f t="shared" ref="G1502:G1532" si="130">"1423"</f>
        <v>1423</v>
      </c>
      <c r="H1502" s="141" t="s">
        <v>2420</v>
      </c>
      <c r="I1502" s="141" t="str">
        <f t="shared" si="128"/>
        <v>999</v>
      </c>
      <c r="J1502" s="141" t="s">
        <v>4327</v>
      </c>
      <c r="K1502" s="141">
        <v>3294</v>
      </c>
      <c r="L1502" s="141">
        <v>2</v>
      </c>
      <c r="M1502" s="141">
        <v>0</v>
      </c>
      <c r="N1502" s="141">
        <v>18000</v>
      </c>
      <c r="O1502" s="141" t="s">
        <v>4357</v>
      </c>
      <c r="P1502" s="141" t="s">
        <v>4586</v>
      </c>
    </row>
    <row r="1503" spans="1:16" ht="25.5">
      <c r="A1503" s="141">
        <v>76807</v>
      </c>
      <c r="B1503" s="141" t="s">
        <v>4325</v>
      </c>
      <c r="C1503" s="142">
        <v>41201</v>
      </c>
      <c r="D1503" s="141">
        <v>1187</v>
      </c>
      <c r="E1503" s="141" t="str">
        <f t="shared" si="127"/>
        <v>001</v>
      </c>
      <c r="F1503" s="141" t="s">
        <v>4326</v>
      </c>
      <c r="G1503" s="141" t="str">
        <f t="shared" si="130"/>
        <v>1423</v>
      </c>
      <c r="H1503" s="141" t="s">
        <v>2420</v>
      </c>
      <c r="I1503" s="141" t="str">
        <f t="shared" si="128"/>
        <v>999</v>
      </c>
      <c r="J1503" s="141" t="s">
        <v>4327</v>
      </c>
      <c r="K1503" s="141">
        <v>3295</v>
      </c>
      <c r="L1503" s="141">
        <v>1</v>
      </c>
      <c r="M1503" s="141">
        <v>0</v>
      </c>
      <c r="N1503" s="141">
        <v>11000</v>
      </c>
      <c r="O1503" s="141" t="s">
        <v>4357</v>
      </c>
      <c r="P1503" s="141" t="s">
        <v>4744</v>
      </c>
    </row>
    <row r="1504" spans="1:16" ht="25.5">
      <c r="A1504" s="141">
        <v>76807</v>
      </c>
      <c r="B1504" s="141" t="s">
        <v>4325</v>
      </c>
      <c r="C1504" s="142">
        <v>41201</v>
      </c>
      <c r="D1504" s="141">
        <v>1187</v>
      </c>
      <c r="E1504" s="141" t="str">
        <f t="shared" si="127"/>
        <v>001</v>
      </c>
      <c r="F1504" s="141" t="s">
        <v>4326</v>
      </c>
      <c r="G1504" s="141" t="str">
        <f t="shared" si="130"/>
        <v>1423</v>
      </c>
      <c r="H1504" s="141" t="s">
        <v>2420</v>
      </c>
      <c r="I1504" s="141" t="str">
        <f t="shared" si="128"/>
        <v>999</v>
      </c>
      <c r="J1504" s="141" t="s">
        <v>4327</v>
      </c>
      <c r="K1504" s="141">
        <v>3296</v>
      </c>
      <c r="L1504" s="141">
        <v>3</v>
      </c>
      <c r="M1504" s="141">
        <v>0</v>
      </c>
      <c r="N1504" s="141">
        <v>21000</v>
      </c>
      <c r="O1504" s="141" t="s">
        <v>4357</v>
      </c>
      <c r="P1504" s="141" t="s">
        <v>4494</v>
      </c>
    </row>
    <row r="1505" spans="1:16" ht="25.5">
      <c r="A1505" s="141">
        <v>76807</v>
      </c>
      <c r="B1505" s="141" t="s">
        <v>4325</v>
      </c>
      <c r="C1505" s="142">
        <v>41201</v>
      </c>
      <c r="D1505" s="141">
        <v>1187</v>
      </c>
      <c r="E1505" s="141" t="str">
        <f t="shared" si="127"/>
        <v>001</v>
      </c>
      <c r="F1505" s="141" t="s">
        <v>4326</v>
      </c>
      <c r="G1505" s="141" t="str">
        <f t="shared" si="130"/>
        <v>1423</v>
      </c>
      <c r="H1505" s="141" t="s">
        <v>2420</v>
      </c>
      <c r="I1505" s="141" t="str">
        <f t="shared" si="128"/>
        <v>999</v>
      </c>
      <c r="J1505" s="141" t="s">
        <v>4327</v>
      </c>
      <c r="K1505" s="141">
        <v>3297</v>
      </c>
      <c r="L1505" s="141">
        <v>2</v>
      </c>
      <c r="M1505" s="141">
        <v>0</v>
      </c>
      <c r="N1505" s="141">
        <v>12000</v>
      </c>
      <c r="O1505" s="141" t="s">
        <v>4357</v>
      </c>
      <c r="P1505" s="141" t="s">
        <v>4551</v>
      </c>
    </row>
    <row r="1506" spans="1:16" ht="25.5">
      <c r="A1506" s="141">
        <v>76807</v>
      </c>
      <c r="B1506" s="141" t="s">
        <v>4325</v>
      </c>
      <c r="C1506" s="142">
        <v>41201</v>
      </c>
      <c r="D1506" s="141">
        <v>1187</v>
      </c>
      <c r="E1506" s="141" t="str">
        <f t="shared" si="127"/>
        <v>001</v>
      </c>
      <c r="F1506" s="141" t="s">
        <v>4326</v>
      </c>
      <c r="G1506" s="141" t="str">
        <f t="shared" si="130"/>
        <v>1423</v>
      </c>
      <c r="H1506" s="141" t="s">
        <v>2420</v>
      </c>
      <c r="I1506" s="141" t="str">
        <f t="shared" si="128"/>
        <v>999</v>
      </c>
      <c r="J1506" s="141" t="s">
        <v>4327</v>
      </c>
      <c r="K1506" s="141">
        <v>3298</v>
      </c>
      <c r="L1506" s="141">
        <v>5</v>
      </c>
      <c r="M1506" s="141">
        <v>0</v>
      </c>
      <c r="N1506" s="141">
        <v>41000</v>
      </c>
      <c r="O1506" s="141" t="s">
        <v>4357</v>
      </c>
      <c r="P1506" s="141" t="s">
        <v>4419</v>
      </c>
    </row>
    <row r="1507" spans="1:16" ht="25.5">
      <c r="A1507" s="141">
        <v>76807</v>
      </c>
      <c r="B1507" s="141" t="s">
        <v>4325</v>
      </c>
      <c r="C1507" s="142">
        <v>41201</v>
      </c>
      <c r="D1507" s="141">
        <v>1187</v>
      </c>
      <c r="E1507" s="141" t="str">
        <f t="shared" si="127"/>
        <v>001</v>
      </c>
      <c r="F1507" s="141" t="s">
        <v>4326</v>
      </c>
      <c r="G1507" s="141" t="str">
        <f t="shared" si="130"/>
        <v>1423</v>
      </c>
      <c r="H1507" s="141" t="s">
        <v>2420</v>
      </c>
      <c r="I1507" s="141" t="str">
        <f t="shared" si="128"/>
        <v>999</v>
      </c>
      <c r="J1507" s="141" t="s">
        <v>4327</v>
      </c>
      <c r="K1507" s="141">
        <v>3299</v>
      </c>
      <c r="L1507" s="141">
        <v>5</v>
      </c>
      <c r="M1507" s="141">
        <v>0</v>
      </c>
      <c r="N1507" s="141">
        <v>48000</v>
      </c>
      <c r="O1507" s="141" t="s">
        <v>4357</v>
      </c>
      <c r="P1507" s="141" t="s">
        <v>4495</v>
      </c>
    </row>
    <row r="1508" spans="1:16" ht="25.5">
      <c r="A1508" s="141">
        <v>76807</v>
      </c>
      <c r="B1508" s="141" t="s">
        <v>4325</v>
      </c>
      <c r="C1508" s="142">
        <v>41201</v>
      </c>
      <c r="D1508" s="141">
        <v>1187</v>
      </c>
      <c r="E1508" s="141" t="str">
        <f t="shared" si="127"/>
        <v>001</v>
      </c>
      <c r="F1508" s="141" t="s">
        <v>4326</v>
      </c>
      <c r="G1508" s="141" t="str">
        <f t="shared" si="130"/>
        <v>1423</v>
      </c>
      <c r="H1508" s="141" t="s">
        <v>2420</v>
      </c>
      <c r="I1508" s="141" t="str">
        <f t="shared" si="128"/>
        <v>999</v>
      </c>
      <c r="J1508" s="141" t="s">
        <v>4327</v>
      </c>
      <c r="K1508" s="141">
        <v>3300</v>
      </c>
      <c r="L1508" s="141">
        <v>10</v>
      </c>
      <c r="M1508" s="141">
        <v>0</v>
      </c>
      <c r="N1508" s="141">
        <v>29000</v>
      </c>
      <c r="O1508" s="141" t="s">
        <v>4334</v>
      </c>
      <c r="P1508" s="141" t="s">
        <v>4335</v>
      </c>
    </row>
    <row r="1509" spans="1:16" ht="25.5">
      <c r="A1509" s="141">
        <v>76807</v>
      </c>
      <c r="B1509" s="141" t="s">
        <v>4325</v>
      </c>
      <c r="C1509" s="142">
        <v>41201</v>
      </c>
      <c r="D1509" s="141">
        <v>1187</v>
      </c>
      <c r="E1509" s="141" t="str">
        <f t="shared" si="127"/>
        <v>001</v>
      </c>
      <c r="F1509" s="141" t="s">
        <v>4326</v>
      </c>
      <c r="G1509" s="141" t="str">
        <f t="shared" si="130"/>
        <v>1423</v>
      </c>
      <c r="H1509" s="141" t="s">
        <v>2420</v>
      </c>
      <c r="I1509" s="141" t="str">
        <f t="shared" si="128"/>
        <v>999</v>
      </c>
      <c r="J1509" s="141" t="s">
        <v>4327</v>
      </c>
      <c r="K1509" s="141">
        <v>3301</v>
      </c>
      <c r="L1509" s="141">
        <v>1</v>
      </c>
      <c r="M1509" s="141">
        <v>0</v>
      </c>
      <c r="N1509" s="141">
        <v>82000</v>
      </c>
      <c r="O1509" s="141" t="s">
        <v>4341</v>
      </c>
      <c r="P1509" s="141" t="s">
        <v>4772</v>
      </c>
    </row>
    <row r="1510" spans="1:16" ht="25.5">
      <c r="A1510" s="141">
        <v>76807</v>
      </c>
      <c r="B1510" s="141" t="s">
        <v>4325</v>
      </c>
      <c r="C1510" s="142">
        <v>41201</v>
      </c>
      <c r="D1510" s="141">
        <v>1187</v>
      </c>
      <c r="E1510" s="141" t="str">
        <f t="shared" si="127"/>
        <v>001</v>
      </c>
      <c r="F1510" s="141" t="s">
        <v>4326</v>
      </c>
      <c r="G1510" s="141" t="str">
        <f t="shared" si="130"/>
        <v>1423</v>
      </c>
      <c r="H1510" s="141" t="s">
        <v>2420</v>
      </c>
      <c r="I1510" s="141" t="str">
        <f t="shared" si="128"/>
        <v>999</v>
      </c>
      <c r="J1510" s="141" t="s">
        <v>4327</v>
      </c>
      <c r="K1510" s="141">
        <v>3302</v>
      </c>
      <c r="L1510" s="141">
        <v>6</v>
      </c>
      <c r="M1510" s="141">
        <v>0</v>
      </c>
      <c r="N1510" s="141">
        <v>38000</v>
      </c>
      <c r="O1510" s="141" t="s">
        <v>4407</v>
      </c>
      <c r="P1510" s="141"/>
    </row>
    <row r="1511" spans="1:16" ht="25.5">
      <c r="A1511" s="141">
        <v>76807</v>
      </c>
      <c r="B1511" s="141" t="s">
        <v>4325</v>
      </c>
      <c r="C1511" s="142">
        <v>41201</v>
      </c>
      <c r="D1511" s="141">
        <v>1187</v>
      </c>
      <c r="E1511" s="141" t="str">
        <f t="shared" si="127"/>
        <v>001</v>
      </c>
      <c r="F1511" s="141" t="s">
        <v>4326</v>
      </c>
      <c r="G1511" s="141" t="str">
        <f t="shared" si="130"/>
        <v>1423</v>
      </c>
      <c r="H1511" s="141" t="s">
        <v>2420</v>
      </c>
      <c r="I1511" s="141" t="str">
        <f t="shared" si="128"/>
        <v>999</v>
      </c>
      <c r="J1511" s="141" t="s">
        <v>4327</v>
      </c>
      <c r="K1511" s="141">
        <v>3303</v>
      </c>
      <c r="L1511" s="141">
        <v>1</v>
      </c>
      <c r="M1511" s="141">
        <v>0</v>
      </c>
      <c r="N1511" s="141">
        <v>3000</v>
      </c>
      <c r="O1511" s="141" t="s">
        <v>4328</v>
      </c>
      <c r="P1511" s="141" t="s">
        <v>4773</v>
      </c>
    </row>
    <row r="1512" spans="1:16" ht="25.5">
      <c r="A1512" s="141">
        <v>76807</v>
      </c>
      <c r="B1512" s="141" t="s">
        <v>4325</v>
      </c>
      <c r="C1512" s="142">
        <v>41201</v>
      </c>
      <c r="D1512" s="141">
        <v>1187</v>
      </c>
      <c r="E1512" s="141" t="str">
        <f t="shared" si="127"/>
        <v>001</v>
      </c>
      <c r="F1512" s="141" t="s">
        <v>4326</v>
      </c>
      <c r="G1512" s="141" t="str">
        <f t="shared" si="130"/>
        <v>1423</v>
      </c>
      <c r="H1512" s="141" t="s">
        <v>2420</v>
      </c>
      <c r="I1512" s="141" t="str">
        <f t="shared" si="128"/>
        <v>999</v>
      </c>
      <c r="J1512" s="141" t="s">
        <v>4327</v>
      </c>
      <c r="K1512" s="141">
        <v>3304</v>
      </c>
      <c r="L1512" s="141">
        <v>1</v>
      </c>
      <c r="M1512" s="141">
        <v>0</v>
      </c>
      <c r="N1512" s="141">
        <v>4000</v>
      </c>
      <c r="O1512" s="141" t="s">
        <v>4373</v>
      </c>
      <c r="P1512" s="141" t="s">
        <v>4774</v>
      </c>
    </row>
    <row r="1513" spans="1:16" ht="25.5">
      <c r="A1513" s="141">
        <v>76807</v>
      </c>
      <c r="B1513" s="141" t="s">
        <v>4325</v>
      </c>
      <c r="C1513" s="142">
        <v>41201</v>
      </c>
      <c r="D1513" s="141">
        <v>1187</v>
      </c>
      <c r="E1513" s="141" t="str">
        <f t="shared" si="127"/>
        <v>001</v>
      </c>
      <c r="F1513" s="141" t="s">
        <v>4326</v>
      </c>
      <c r="G1513" s="141" t="str">
        <f t="shared" si="130"/>
        <v>1423</v>
      </c>
      <c r="H1513" s="141" t="s">
        <v>2420</v>
      </c>
      <c r="I1513" s="141" t="str">
        <f t="shared" si="128"/>
        <v>999</v>
      </c>
      <c r="J1513" s="141" t="s">
        <v>4327</v>
      </c>
      <c r="K1513" s="141">
        <v>3305</v>
      </c>
      <c r="L1513" s="141">
        <v>17</v>
      </c>
      <c r="M1513" s="141">
        <v>0</v>
      </c>
      <c r="N1513" s="141">
        <v>3000</v>
      </c>
      <c r="O1513" s="141" t="s">
        <v>4625</v>
      </c>
      <c r="P1513" s="141"/>
    </row>
    <row r="1514" spans="1:16" ht="25.5">
      <c r="A1514" s="141">
        <v>76807</v>
      </c>
      <c r="B1514" s="141" t="s">
        <v>4325</v>
      </c>
      <c r="C1514" s="142">
        <v>41201</v>
      </c>
      <c r="D1514" s="141">
        <v>1187</v>
      </c>
      <c r="E1514" s="141" t="str">
        <f t="shared" si="127"/>
        <v>001</v>
      </c>
      <c r="F1514" s="141" t="s">
        <v>4326</v>
      </c>
      <c r="G1514" s="141" t="str">
        <f t="shared" si="130"/>
        <v>1423</v>
      </c>
      <c r="H1514" s="141" t="s">
        <v>2420</v>
      </c>
      <c r="I1514" s="141" t="str">
        <f t="shared" si="128"/>
        <v>999</v>
      </c>
      <c r="J1514" s="141" t="s">
        <v>4327</v>
      </c>
      <c r="K1514" s="141">
        <v>3306</v>
      </c>
      <c r="L1514" s="141">
        <v>9</v>
      </c>
      <c r="M1514" s="141">
        <v>0</v>
      </c>
      <c r="N1514" s="141">
        <v>6000</v>
      </c>
      <c r="O1514" s="141" t="s">
        <v>4343</v>
      </c>
      <c r="P1514" s="141"/>
    </row>
    <row r="1515" spans="1:16" ht="25.5">
      <c r="A1515" s="141">
        <v>76807</v>
      </c>
      <c r="B1515" s="141" t="s">
        <v>4325</v>
      </c>
      <c r="C1515" s="142">
        <v>41201</v>
      </c>
      <c r="D1515" s="141">
        <v>1187</v>
      </c>
      <c r="E1515" s="141" t="str">
        <f t="shared" si="127"/>
        <v>001</v>
      </c>
      <c r="F1515" s="141" t="s">
        <v>4326</v>
      </c>
      <c r="G1515" s="141" t="str">
        <f t="shared" si="130"/>
        <v>1423</v>
      </c>
      <c r="H1515" s="141" t="s">
        <v>2420</v>
      </c>
      <c r="I1515" s="141" t="str">
        <f t="shared" si="128"/>
        <v>999</v>
      </c>
      <c r="J1515" s="141" t="s">
        <v>4327</v>
      </c>
      <c r="K1515" s="141">
        <v>3307</v>
      </c>
      <c r="L1515" s="141">
        <v>1</v>
      </c>
      <c r="M1515" s="141">
        <v>0</v>
      </c>
      <c r="N1515" s="141">
        <v>2000</v>
      </c>
      <c r="O1515" s="141" t="s">
        <v>4330</v>
      </c>
      <c r="P1515" s="141" t="s">
        <v>4443</v>
      </c>
    </row>
    <row r="1516" spans="1:16" ht="25.5">
      <c r="A1516" s="141">
        <v>76807</v>
      </c>
      <c r="B1516" s="141" t="s">
        <v>4325</v>
      </c>
      <c r="C1516" s="142">
        <v>41201</v>
      </c>
      <c r="D1516" s="141">
        <v>1187</v>
      </c>
      <c r="E1516" s="141" t="str">
        <f t="shared" si="127"/>
        <v>001</v>
      </c>
      <c r="F1516" s="141" t="s">
        <v>4326</v>
      </c>
      <c r="G1516" s="141" t="str">
        <f t="shared" si="130"/>
        <v>1423</v>
      </c>
      <c r="H1516" s="141" t="s">
        <v>2420</v>
      </c>
      <c r="I1516" s="141" t="str">
        <f t="shared" si="128"/>
        <v>999</v>
      </c>
      <c r="J1516" s="141" t="s">
        <v>4327</v>
      </c>
      <c r="K1516" s="141">
        <v>3308</v>
      </c>
      <c r="L1516" s="141">
        <v>1</v>
      </c>
      <c r="M1516" s="141">
        <v>0</v>
      </c>
      <c r="N1516" s="141">
        <v>18000</v>
      </c>
      <c r="O1516" s="141" t="s">
        <v>4631</v>
      </c>
      <c r="P1516" s="141" t="s">
        <v>4775</v>
      </c>
    </row>
    <row r="1517" spans="1:16" ht="25.5">
      <c r="A1517" s="141">
        <v>76807</v>
      </c>
      <c r="B1517" s="141" t="s">
        <v>4325</v>
      </c>
      <c r="C1517" s="142">
        <v>41201</v>
      </c>
      <c r="D1517" s="141">
        <v>1187</v>
      </c>
      <c r="E1517" s="141" t="str">
        <f t="shared" si="127"/>
        <v>001</v>
      </c>
      <c r="F1517" s="141" t="s">
        <v>4326</v>
      </c>
      <c r="G1517" s="141" t="str">
        <f t="shared" si="130"/>
        <v>1423</v>
      </c>
      <c r="H1517" s="141" t="s">
        <v>2420</v>
      </c>
      <c r="I1517" s="141" t="str">
        <f t="shared" si="128"/>
        <v>999</v>
      </c>
      <c r="J1517" s="141" t="s">
        <v>4327</v>
      </c>
      <c r="K1517" s="141">
        <v>3309</v>
      </c>
      <c r="L1517" s="141">
        <v>4</v>
      </c>
      <c r="M1517" s="141">
        <v>0</v>
      </c>
      <c r="N1517" s="141">
        <v>14000</v>
      </c>
      <c r="O1517" s="141" t="s">
        <v>4540</v>
      </c>
      <c r="P1517" s="141"/>
    </row>
    <row r="1518" spans="1:16" ht="25.5">
      <c r="A1518" s="141">
        <v>76807</v>
      </c>
      <c r="B1518" s="141" t="s">
        <v>4325</v>
      </c>
      <c r="C1518" s="142">
        <v>41201</v>
      </c>
      <c r="D1518" s="141">
        <v>1187</v>
      </c>
      <c r="E1518" s="141" t="str">
        <f t="shared" si="127"/>
        <v>001</v>
      </c>
      <c r="F1518" s="141" t="s">
        <v>4326</v>
      </c>
      <c r="G1518" s="141" t="str">
        <f t="shared" si="130"/>
        <v>1423</v>
      </c>
      <c r="H1518" s="141" t="s">
        <v>2420</v>
      </c>
      <c r="I1518" s="141" t="str">
        <f t="shared" si="128"/>
        <v>999</v>
      </c>
      <c r="J1518" s="141" t="s">
        <v>4327</v>
      </c>
      <c r="K1518" s="141">
        <v>3310</v>
      </c>
      <c r="L1518" s="141">
        <v>24</v>
      </c>
      <c r="M1518" s="141">
        <v>0</v>
      </c>
      <c r="N1518" s="141">
        <v>54000</v>
      </c>
      <c r="O1518" s="141" t="s">
        <v>4334</v>
      </c>
      <c r="P1518" s="141" t="s">
        <v>4340</v>
      </c>
    </row>
    <row r="1519" spans="1:16" ht="25.5">
      <c r="A1519" s="141">
        <v>76807</v>
      </c>
      <c r="B1519" s="141" t="s">
        <v>4325</v>
      </c>
      <c r="C1519" s="142">
        <v>41201</v>
      </c>
      <c r="D1519" s="141">
        <v>1187</v>
      </c>
      <c r="E1519" s="141" t="str">
        <f t="shared" si="127"/>
        <v>001</v>
      </c>
      <c r="F1519" s="141" t="s">
        <v>4326</v>
      </c>
      <c r="G1519" s="141" t="str">
        <f t="shared" si="130"/>
        <v>1423</v>
      </c>
      <c r="H1519" s="141" t="s">
        <v>2420</v>
      </c>
      <c r="I1519" s="141" t="str">
        <f t="shared" si="128"/>
        <v>999</v>
      </c>
      <c r="J1519" s="141" t="s">
        <v>4327</v>
      </c>
      <c r="K1519" s="141">
        <v>3311</v>
      </c>
      <c r="L1519" s="141">
        <v>12</v>
      </c>
      <c r="M1519" s="141">
        <v>0</v>
      </c>
      <c r="N1519" s="141">
        <v>76000</v>
      </c>
      <c r="O1519" s="141" t="s">
        <v>4500</v>
      </c>
      <c r="P1519" s="141"/>
    </row>
    <row r="1520" spans="1:16" ht="25.5">
      <c r="A1520" s="141">
        <v>76807</v>
      </c>
      <c r="B1520" s="141" t="s">
        <v>4325</v>
      </c>
      <c r="C1520" s="142">
        <v>41201</v>
      </c>
      <c r="D1520" s="141">
        <v>1187</v>
      </c>
      <c r="E1520" s="141" t="str">
        <f t="shared" si="127"/>
        <v>001</v>
      </c>
      <c r="F1520" s="141" t="s">
        <v>4326</v>
      </c>
      <c r="G1520" s="141" t="str">
        <f t="shared" si="130"/>
        <v>1423</v>
      </c>
      <c r="H1520" s="141" t="s">
        <v>2420</v>
      </c>
      <c r="I1520" s="141" t="str">
        <f t="shared" si="128"/>
        <v>999</v>
      </c>
      <c r="J1520" s="141" t="s">
        <v>4327</v>
      </c>
      <c r="K1520" s="141">
        <v>3312</v>
      </c>
      <c r="L1520" s="141">
        <v>1</v>
      </c>
      <c r="M1520" s="141">
        <v>0</v>
      </c>
      <c r="N1520" s="141">
        <v>9000</v>
      </c>
      <c r="O1520" s="141" t="s">
        <v>4550</v>
      </c>
      <c r="P1520" s="141" t="s">
        <v>4372</v>
      </c>
    </row>
    <row r="1521" spans="1:16" ht="25.5">
      <c r="A1521" s="141">
        <v>76807</v>
      </c>
      <c r="B1521" s="141" t="s">
        <v>4325</v>
      </c>
      <c r="C1521" s="142">
        <v>41201</v>
      </c>
      <c r="D1521" s="141">
        <v>1187</v>
      </c>
      <c r="E1521" s="141" t="str">
        <f t="shared" si="127"/>
        <v>001</v>
      </c>
      <c r="F1521" s="141" t="s">
        <v>4326</v>
      </c>
      <c r="G1521" s="141" t="str">
        <f t="shared" si="130"/>
        <v>1423</v>
      </c>
      <c r="H1521" s="141" t="s">
        <v>2420</v>
      </c>
      <c r="I1521" s="141" t="str">
        <f t="shared" si="128"/>
        <v>999</v>
      </c>
      <c r="J1521" s="141" t="s">
        <v>4327</v>
      </c>
      <c r="K1521" s="141">
        <v>3313</v>
      </c>
      <c r="L1521" s="141">
        <v>1</v>
      </c>
      <c r="M1521" s="141">
        <v>0</v>
      </c>
      <c r="N1521" s="141">
        <v>9000</v>
      </c>
      <c r="O1521" s="141" t="s">
        <v>4550</v>
      </c>
      <c r="P1521" s="141" t="s">
        <v>4372</v>
      </c>
    </row>
    <row r="1522" spans="1:16" ht="25.5">
      <c r="A1522" s="141">
        <v>76807</v>
      </c>
      <c r="B1522" s="141" t="s">
        <v>4325</v>
      </c>
      <c r="C1522" s="142">
        <v>41201</v>
      </c>
      <c r="D1522" s="141">
        <v>1187</v>
      </c>
      <c r="E1522" s="141" t="str">
        <f t="shared" si="127"/>
        <v>001</v>
      </c>
      <c r="F1522" s="141" t="s">
        <v>4326</v>
      </c>
      <c r="G1522" s="141" t="str">
        <f t="shared" si="130"/>
        <v>1423</v>
      </c>
      <c r="H1522" s="141" t="s">
        <v>2420</v>
      </c>
      <c r="I1522" s="141" t="str">
        <f t="shared" si="128"/>
        <v>999</v>
      </c>
      <c r="J1522" s="141" t="s">
        <v>4327</v>
      </c>
      <c r="K1522" s="141">
        <v>3314</v>
      </c>
      <c r="L1522" s="141">
        <v>1</v>
      </c>
      <c r="M1522" s="141">
        <v>0</v>
      </c>
      <c r="N1522" s="141">
        <v>9000</v>
      </c>
      <c r="O1522" s="141" t="s">
        <v>4550</v>
      </c>
      <c r="P1522" s="141" t="s">
        <v>4372</v>
      </c>
    </row>
    <row r="1523" spans="1:16" ht="25.5">
      <c r="A1523" s="141">
        <v>76807</v>
      </c>
      <c r="B1523" s="141" t="s">
        <v>4325</v>
      </c>
      <c r="C1523" s="142">
        <v>41201</v>
      </c>
      <c r="D1523" s="141">
        <v>1187</v>
      </c>
      <c r="E1523" s="141" t="str">
        <f t="shared" si="127"/>
        <v>001</v>
      </c>
      <c r="F1523" s="141" t="s">
        <v>4326</v>
      </c>
      <c r="G1523" s="141" t="str">
        <f t="shared" si="130"/>
        <v>1423</v>
      </c>
      <c r="H1523" s="141" t="s">
        <v>2420</v>
      </c>
      <c r="I1523" s="141" t="str">
        <f t="shared" si="128"/>
        <v>999</v>
      </c>
      <c r="J1523" s="141" t="s">
        <v>4327</v>
      </c>
      <c r="K1523" s="141">
        <v>3315</v>
      </c>
      <c r="L1523" s="141">
        <v>1</v>
      </c>
      <c r="M1523" s="141">
        <v>0</v>
      </c>
      <c r="N1523" s="141">
        <v>9000</v>
      </c>
      <c r="O1523" s="141" t="s">
        <v>4550</v>
      </c>
      <c r="P1523" s="141" t="s">
        <v>4372</v>
      </c>
    </row>
    <row r="1524" spans="1:16" ht="25.5">
      <c r="A1524" s="141">
        <v>76807</v>
      </c>
      <c r="B1524" s="141" t="s">
        <v>4325</v>
      </c>
      <c r="C1524" s="142">
        <v>41201</v>
      </c>
      <c r="D1524" s="141">
        <v>1187</v>
      </c>
      <c r="E1524" s="141" t="str">
        <f t="shared" si="127"/>
        <v>001</v>
      </c>
      <c r="F1524" s="141" t="s">
        <v>4326</v>
      </c>
      <c r="G1524" s="141" t="str">
        <f t="shared" si="130"/>
        <v>1423</v>
      </c>
      <c r="H1524" s="141" t="s">
        <v>2420</v>
      </c>
      <c r="I1524" s="141" t="str">
        <f t="shared" si="128"/>
        <v>999</v>
      </c>
      <c r="J1524" s="141" t="s">
        <v>4327</v>
      </c>
      <c r="K1524" s="141">
        <v>3316</v>
      </c>
      <c r="L1524" s="141">
        <v>1</v>
      </c>
      <c r="M1524" s="141">
        <v>0</v>
      </c>
      <c r="N1524" s="141">
        <v>9000</v>
      </c>
      <c r="O1524" s="141" t="s">
        <v>4550</v>
      </c>
      <c r="P1524" s="141" t="s">
        <v>4372</v>
      </c>
    </row>
    <row r="1525" spans="1:16" ht="25.5">
      <c r="A1525" s="141">
        <v>76807</v>
      </c>
      <c r="B1525" s="141" t="s">
        <v>4325</v>
      </c>
      <c r="C1525" s="142">
        <v>41201</v>
      </c>
      <c r="D1525" s="141">
        <v>1187</v>
      </c>
      <c r="E1525" s="141" t="str">
        <f t="shared" si="127"/>
        <v>001</v>
      </c>
      <c r="F1525" s="141" t="s">
        <v>4326</v>
      </c>
      <c r="G1525" s="141" t="str">
        <f t="shared" si="130"/>
        <v>1423</v>
      </c>
      <c r="H1525" s="141" t="s">
        <v>2420</v>
      </c>
      <c r="I1525" s="141" t="str">
        <f t="shared" si="128"/>
        <v>999</v>
      </c>
      <c r="J1525" s="141" t="s">
        <v>4327</v>
      </c>
      <c r="K1525" s="141">
        <v>3317</v>
      </c>
      <c r="L1525" s="141">
        <v>1</v>
      </c>
      <c r="M1525" s="141">
        <v>0</v>
      </c>
      <c r="N1525" s="141">
        <v>9000</v>
      </c>
      <c r="O1525" s="141" t="s">
        <v>4550</v>
      </c>
      <c r="P1525" s="141" t="s">
        <v>4372</v>
      </c>
    </row>
    <row r="1526" spans="1:16" ht="25.5">
      <c r="A1526" s="141">
        <v>76807</v>
      </c>
      <c r="B1526" s="141" t="s">
        <v>4325</v>
      </c>
      <c r="C1526" s="142">
        <v>41201</v>
      </c>
      <c r="D1526" s="141">
        <v>1187</v>
      </c>
      <c r="E1526" s="141" t="str">
        <f t="shared" si="127"/>
        <v>001</v>
      </c>
      <c r="F1526" s="141" t="s">
        <v>4326</v>
      </c>
      <c r="G1526" s="141" t="str">
        <f t="shared" si="130"/>
        <v>1423</v>
      </c>
      <c r="H1526" s="141" t="s">
        <v>2420</v>
      </c>
      <c r="I1526" s="141" t="str">
        <f t="shared" si="128"/>
        <v>999</v>
      </c>
      <c r="J1526" s="141" t="s">
        <v>4327</v>
      </c>
      <c r="K1526" s="141">
        <v>3318</v>
      </c>
      <c r="L1526" s="141">
        <v>1</v>
      </c>
      <c r="M1526" s="141">
        <v>0</v>
      </c>
      <c r="N1526" s="141">
        <v>9000</v>
      </c>
      <c r="O1526" s="141" t="s">
        <v>4550</v>
      </c>
      <c r="P1526" s="141" t="s">
        <v>4372</v>
      </c>
    </row>
    <row r="1527" spans="1:16" ht="25.5">
      <c r="A1527" s="141">
        <v>76807</v>
      </c>
      <c r="B1527" s="141" t="s">
        <v>4325</v>
      </c>
      <c r="C1527" s="142">
        <v>41201</v>
      </c>
      <c r="D1527" s="141">
        <v>1187</v>
      </c>
      <c r="E1527" s="141" t="str">
        <f t="shared" si="127"/>
        <v>001</v>
      </c>
      <c r="F1527" s="141" t="s">
        <v>4326</v>
      </c>
      <c r="G1527" s="141" t="str">
        <f t="shared" si="130"/>
        <v>1423</v>
      </c>
      <c r="H1527" s="141" t="s">
        <v>2420</v>
      </c>
      <c r="I1527" s="141" t="str">
        <f t="shared" si="128"/>
        <v>999</v>
      </c>
      <c r="J1527" s="141" t="s">
        <v>4327</v>
      </c>
      <c r="K1527" s="141">
        <v>3319</v>
      </c>
      <c r="L1527" s="141">
        <v>1</v>
      </c>
      <c r="M1527" s="141">
        <v>0</v>
      </c>
      <c r="N1527" s="141">
        <v>9000</v>
      </c>
      <c r="O1527" s="141" t="s">
        <v>4550</v>
      </c>
      <c r="P1527" s="141" t="s">
        <v>4372</v>
      </c>
    </row>
    <row r="1528" spans="1:16" ht="25.5">
      <c r="A1528" s="141">
        <v>76807</v>
      </c>
      <c r="B1528" s="141" t="s">
        <v>4325</v>
      </c>
      <c r="C1528" s="142">
        <v>41201</v>
      </c>
      <c r="D1528" s="141">
        <v>1187</v>
      </c>
      <c r="E1528" s="141" t="str">
        <f t="shared" si="127"/>
        <v>001</v>
      </c>
      <c r="F1528" s="141" t="s">
        <v>4326</v>
      </c>
      <c r="G1528" s="141" t="str">
        <f t="shared" si="130"/>
        <v>1423</v>
      </c>
      <c r="H1528" s="141" t="s">
        <v>2420</v>
      </c>
      <c r="I1528" s="141" t="str">
        <f t="shared" si="128"/>
        <v>999</v>
      </c>
      <c r="J1528" s="141" t="s">
        <v>4327</v>
      </c>
      <c r="K1528" s="141">
        <v>3320</v>
      </c>
      <c r="L1528" s="141">
        <v>1</v>
      </c>
      <c r="M1528" s="141">
        <v>0</v>
      </c>
      <c r="N1528" s="141">
        <v>9000</v>
      </c>
      <c r="O1528" s="141" t="s">
        <v>4550</v>
      </c>
      <c r="P1528" s="141" t="s">
        <v>4372</v>
      </c>
    </row>
    <row r="1529" spans="1:16" ht="25.5">
      <c r="A1529" s="141">
        <v>76807</v>
      </c>
      <c r="B1529" s="141" t="s">
        <v>4325</v>
      </c>
      <c r="C1529" s="142">
        <v>41201</v>
      </c>
      <c r="D1529" s="141">
        <v>1187</v>
      </c>
      <c r="E1529" s="141" t="str">
        <f t="shared" si="127"/>
        <v>001</v>
      </c>
      <c r="F1529" s="141" t="s">
        <v>4326</v>
      </c>
      <c r="G1529" s="141" t="str">
        <f t="shared" si="130"/>
        <v>1423</v>
      </c>
      <c r="H1529" s="141" t="s">
        <v>2420</v>
      </c>
      <c r="I1529" s="141" t="str">
        <f t="shared" si="128"/>
        <v>999</v>
      </c>
      <c r="J1529" s="141" t="s">
        <v>4327</v>
      </c>
      <c r="K1529" s="141">
        <v>3321</v>
      </c>
      <c r="L1529" s="141">
        <v>1</v>
      </c>
      <c r="M1529" s="141">
        <v>0</v>
      </c>
      <c r="N1529" s="141">
        <v>9000</v>
      </c>
      <c r="O1529" s="141" t="s">
        <v>4550</v>
      </c>
      <c r="P1529" s="141" t="s">
        <v>4372</v>
      </c>
    </row>
    <row r="1530" spans="1:16" ht="25.5">
      <c r="A1530" s="141">
        <v>76807</v>
      </c>
      <c r="B1530" s="141" t="s">
        <v>4325</v>
      </c>
      <c r="C1530" s="142">
        <v>41201</v>
      </c>
      <c r="D1530" s="141">
        <v>1187</v>
      </c>
      <c r="E1530" s="141" t="str">
        <f t="shared" si="127"/>
        <v>001</v>
      </c>
      <c r="F1530" s="141" t="s">
        <v>4326</v>
      </c>
      <c r="G1530" s="141" t="str">
        <f t="shared" si="130"/>
        <v>1423</v>
      </c>
      <c r="H1530" s="141" t="s">
        <v>2420</v>
      </c>
      <c r="I1530" s="141" t="str">
        <f t="shared" si="128"/>
        <v>999</v>
      </c>
      <c r="J1530" s="141" t="s">
        <v>4327</v>
      </c>
      <c r="K1530" s="141">
        <v>3322</v>
      </c>
      <c r="L1530" s="141">
        <v>1</v>
      </c>
      <c r="M1530" s="141">
        <v>0</v>
      </c>
      <c r="N1530" s="141">
        <v>9000</v>
      </c>
      <c r="O1530" s="141" t="s">
        <v>4550</v>
      </c>
      <c r="P1530" s="141" t="s">
        <v>4372</v>
      </c>
    </row>
    <row r="1531" spans="1:16" ht="25.5">
      <c r="A1531" s="141">
        <v>76807</v>
      </c>
      <c r="B1531" s="141" t="s">
        <v>4325</v>
      </c>
      <c r="C1531" s="142">
        <v>41201</v>
      </c>
      <c r="D1531" s="141">
        <v>1187</v>
      </c>
      <c r="E1531" s="141" t="str">
        <f t="shared" si="127"/>
        <v>001</v>
      </c>
      <c r="F1531" s="141" t="s">
        <v>4326</v>
      </c>
      <c r="G1531" s="141" t="str">
        <f t="shared" si="130"/>
        <v>1423</v>
      </c>
      <c r="H1531" s="141" t="s">
        <v>2420</v>
      </c>
      <c r="I1531" s="141" t="str">
        <f t="shared" si="128"/>
        <v>999</v>
      </c>
      <c r="J1531" s="141" t="s">
        <v>4327</v>
      </c>
      <c r="K1531" s="141">
        <v>3323</v>
      </c>
      <c r="L1531" s="141">
        <v>1</v>
      </c>
      <c r="M1531" s="141">
        <v>0</v>
      </c>
      <c r="N1531" s="141">
        <v>9000</v>
      </c>
      <c r="O1531" s="141" t="s">
        <v>4550</v>
      </c>
      <c r="P1531" s="141" t="s">
        <v>4372</v>
      </c>
    </row>
    <row r="1532" spans="1:16" ht="25.5">
      <c r="A1532" s="141">
        <v>76807</v>
      </c>
      <c r="B1532" s="141" t="s">
        <v>4325</v>
      </c>
      <c r="C1532" s="142">
        <v>41201</v>
      </c>
      <c r="D1532" s="141">
        <v>1187</v>
      </c>
      <c r="E1532" s="141" t="str">
        <f t="shared" si="127"/>
        <v>001</v>
      </c>
      <c r="F1532" s="141" t="s">
        <v>4326</v>
      </c>
      <c r="G1532" s="141" t="str">
        <f t="shared" si="130"/>
        <v>1423</v>
      </c>
      <c r="H1532" s="141" t="s">
        <v>2420</v>
      </c>
      <c r="I1532" s="141" t="str">
        <f t="shared" si="128"/>
        <v>999</v>
      </c>
      <c r="J1532" s="141" t="s">
        <v>4327</v>
      </c>
      <c r="K1532" s="141">
        <v>3324</v>
      </c>
      <c r="L1532" s="141">
        <v>12</v>
      </c>
      <c r="M1532" s="141">
        <v>0</v>
      </c>
      <c r="N1532" s="141">
        <v>31000</v>
      </c>
      <c r="O1532" s="141" t="s">
        <v>4630</v>
      </c>
      <c r="P1532" s="141"/>
    </row>
    <row r="1533" spans="1:16" ht="25.5">
      <c r="A1533" s="141">
        <v>76807</v>
      </c>
      <c r="B1533" s="141" t="s">
        <v>4325</v>
      </c>
      <c r="C1533" s="142">
        <v>41201</v>
      </c>
      <c r="D1533" s="141">
        <v>426</v>
      </c>
      <c r="E1533" s="141" t="str">
        <f t="shared" si="127"/>
        <v>001</v>
      </c>
      <c r="F1533" s="141" t="s">
        <v>4326</v>
      </c>
      <c r="G1533" s="141" t="str">
        <f t="shared" ref="G1533:G1539" si="131">"1424"</f>
        <v>1424</v>
      </c>
      <c r="H1533" s="141" t="s">
        <v>745</v>
      </c>
      <c r="I1533" s="141" t="str">
        <f t="shared" si="128"/>
        <v>999</v>
      </c>
      <c r="J1533" s="141" t="s">
        <v>4327</v>
      </c>
      <c r="K1533" s="141">
        <v>1214</v>
      </c>
      <c r="L1533" s="141">
        <v>15</v>
      </c>
      <c r="M1533" s="141">
        <v>0</v>
      </c>
      <c r="N1533" s="141">
        <v>8000</v>
      </c>
      <c r="O1533" s="141" t="s">
        <v>4350</v>
      </c>
      <c r="P1533" s="141"/>
    </row>
    <row r="1534" spans="1:16" ht="25.5">
      <c r="A1534" s="141">
        <v>76807</v>
      </c>
      <c r="B1534" s="141" t="s">
        <v>4325</v>
      </c>
      <c r="C1534" s="142">
        <v>41201</v>
      </c>
      <c r="D1534" s="141">
        <v>426</v>
      </c>
      <c r="E1534" s="141" t="str">
        <f t="shared" si="127"/>
        <v>001</v>
      </c>
      <c r="F1534" s="141" t="s">
        <v>4326</v>
      </c>
      <c r="G1534" s="141" t="str">
        <f t="shared" si="131"/>
        <v>1424</v>
      </c>
      <c r="H1534" s="141" t="s">
        <v>745</v>
      </c>
      <c r="I1534" s="141" t="str">
        <f t="shared" si="128"/>
        <v>999</v>
      </c>
      <c r="J1534" s="141" t="s">
        <v>4327</v>
      </c>
      <c r="K1534" s="141">
        <v>1215</v>
      </c>
      <c r="L1534" s="141">
        <v>5</v>
      </c>
      <c r="M1534" s="141">
        <v>0</v>
      </c>
      <c r="N1534" s="141">
        <v>28000</v>
      </c>
      <c r="O1534" s="141" t="s">
        <v>4540</v>
      </c>
      <c r="P1534" s="141"/>
    </row>
    <row r="1535" spans="1:16" ht="25.5">
      <c r="A1535" s="141">
        <v>76807</v>
      </c>
      <c r="B1535" s="141" t="s">
        <v>4325</v>
      </c>
      <c r="C1535" s="142">
        <v>41201</v>
      </c>
      <c r="D1535" s="141">
        <v>426</v>
      </c>
      <c r="E1535" s="141" t="str">
        <f t="shared" si="127"/>
        <v>001</v>
      </c>
      <c r="F1535" s="141" t="s">
        <v>4326</v>
      </c>
      <c r="G1535" s="141" t="str">
        <f t="shared" si="131"/>
        <v>1424</v>
      </c>
      <c r="H1535" s="141" t="s">
        <v>745</v>
      </c>
      <c r="I1535" s="141" t="str">
        <f t="shared" si="128"/>
        <v>999</v>
      </c>
      <c r="J1535" s="141" t="s">
        <v>4327</v>
      </c>
      <c r="K1535" s="141">
        <v>1216</v>
      </c>
      <c r="L1535" s="141">
        <v>15</v>
      </c>
      <c r="M1535" s="141">
        <v>0</v>
      </c>
      <c r="N1535" s="141">
        <v>232000</v>
      </c>
      <c r="O1535" s="141" t="s">
        <v>4357</v>
      </c>
      <c r="P1535" s="141" t="s">
        <v>4495</v>
      </c>
    </row>
    <row r="1536" spans="1:16" ht="25.5">
      <c r="A1536" s="141">
        <v>76807</v>
      </c>
      <c r="B1536" s="141" t="s">
        <v>4325</v>
      </c>
      <c r="C1536" s="142">
        <v>41201</v>
      </c>
      <c r="D1536" s="141">
        <v>426</v>
      </c>
      <c r="E1536" s="141" t="str">
        <f t="shared" si="127"/>
        <v>001</v>
      </c>
      <c r="F1536" s="141" t="s">
        <v>4326</v>
      </c>
      <c r="G1536" s="141" t="str">
        <f t="shared" si="131"/>
        <v>1424</v>
      </c>
      <c r="H1536" s="141" t="s">
        <v>745</v>
      </c>
      <c r="I1536" s="141" t="str">
        <f t="shared" si="128"/>
        <v>999</v>
      </c>
      <c r="J1536" s="141" t="s">
        <v>4327</v>
      </c>
      <c r="K1536" s="141">
        <v>1217</v>
      </c>
      <c r="L1536" s="141">
        <v>1</v>
      </c>
      <c r="M1536" s="141">
        <v>0</v>
      </c>
      <c r="N1536" s="141">
        <v>2000</v>
      </c>
      <c r="O1536" s="141" t="s">
        <v>4330</v>
      </c>
      <c r="P1536" s="141" t="s">
        <v>4443</v>
      </c>
    </row>
    <row r="1537" spans="1:16" ht="25.5">
      <c r="A1537" s="141">
        <v>76807</v>
      </c>
      <c r="B1537" s="141" t="s">
        <v>4325</v>
      </c>
      <c r="C1537" s="142">
        <v>41201</v>
      </c>
      <c r="D1537" s="141">
        <v>426</v>
      </c>
      <c r="E1537" s="141" t="str">
        <f t="shared" si="127"/>
        <v>001</v>
      </c>
      <c r="F1537" s="141" t="s">
        <v>4326</v>
      </c>
      <c r="G1537" s="141" t="str">
        <f t="shared" si="131"/>
        <v>1424</v>
      </c>
      <c r="H1537" s="141" t="s">
        <v>745</v>
      </c>
      <c r="I1537" s="141" t="str">
        <f t="shared" si="128"/>
        <v>999</v>
      </c>
      <c r="J1537" s="141" t="s">
        <v>4327</v>
      </c>
      <c r="K1537" s="141">
        <v>1218</v>
      </c>
      <c r="L1537" s="141">
        <v>5</v>
      </c>
      <c r="M1537" s="141">
        <v>0</v>
      </c>
      <c r="N1537" s="141">
        <v>32000</v>
      </c>
      <c r="O1537" s="141" t="s">
        <v>4407</v>
      </c>
      <c r="P1537" s="141"/>
    </row>
    <row r="1538" spans="1:16" ht="25.5">
      <c r="A1538" s="141">
        <v>76807</v>
      </c>
      <c r="B1538" s="141" t="s">
        <v>4325</v>
      </c>
      <c r="C1538" s="142">
        <v>41201</v>
      </c>
      <c r="D1538" s="141">
        <v>426</v>
      </c>
      <c r="E1538" s="141" t="str">
        <f t="shared" ref="E1538:E1601" si="132">"001"</f>
        <v>001</v>
      </c>
      <c r="F1538" s="141" t="s">
        <v>4326</v>
      </c>
      <c r="G1538" s="141" t="str">
        <f t="shared" si="131"/>
        <v>1424</v>
      </c>
      <c r="H1538" s="141" t="s">
        <v>745</v>
      </c>
      <c r="I1538" s="141" t="str">
        <f t="shared" ref="I1538:I1601" si="133">"999"</f>
        <v>999</v>
      </c>
      <c r="J1538" s="141" t="s">
        <v>4327</v>
      </c>
      <c r="K1538" s="141">
        <v>1219</v>
      </c>
      <c r="L1538" s="141">
        <v>1</v>
      </c>
      <c r="M1538" s="141">
        <v>0</v>
      </c>
      <c r="N1538" s="141">
        <v>48000</v>
      </c>
      <c r="O1538" s="141" t="s">
        <v>4337</v>
      </c>
      <c r="P1538" s="141" t="s">
        <v>4776</v>
      </c>
    </row>
    <row r="1539" spans="1:16" ht="25.5">
      <c r="A1539" s="141">
        <v>76807</v>
      </c>
      <c r="B1539" s="141" t="s">
        <v>4325</v>
      </c>
      <c r="C1539" s="142">
        <v>41201</v>
      </c>
      <c r="D1539" s="141">
        <v>426</v>
      </c>
      <c r="E1539" s="141" t="str">
        <f t="shared" si="132"/>
        <v>001</v>
      </c>
      <c r="F1539" s="141" t="s">
        <v>4326</v>
      </c>
      <c r="G1539" s="141" t="str">
        <f t="shared" si="131"/>
        <v>1424</v>
      </c>
      <c r="H1539" s="141" t="s">
        <v>745</v>
      </c>
      <c r="I1539" s="141" t="str">
        <f t="shared" si="133"/>
        <v>999</v>
      </c>
      <c r="J1539" s="141" t="s">
        <v>4327</v>
      </c>
      <c r="K1539" s="141">
        <v>1220</v>
      </c>
      <c r="L1539" s="141">
        <v>1</v>
      </c>
      <c r="M1539" s="141">
        <v>0</v>
      </c>
      <c r="N1539" s="141">
        <v>10000</v>
      </c>
      <c r="O1539" s="141" t="s">
        <v>4353</v>
      </c>
      <c r="P1539" s="141" t="s">
        <v>4524</v>
      </c>
    </row>
    <row r="1540" spans="1:16" ht="25.5">
      <c r="A1540" s="141">
        <v>76807</v>
      </c>
      <c r="B1540" s="141" t="s">
        <v>4325</v>
      </c>
      <c r="C1540" s="142">
        <v>41201</v>
      </c>
      <c r="D1540" s="141">
        <v>467</v>
      </c>
      <c r="E1540" s="141" t="str">
        <f t="shared" si="132"/>
        <v>001</v>
      </c>
      <c r="F1540" s="141" t="s">
        <v>4326</v>
      </c>
      <c r="G1540" s="141" t="str">
        <f>"1425"</f>
        <v>1425</v>
      </c>
      <c r="H1540" s="141" t="s">
        <v>2738</v>
      </c>
      <c r="I1540" s="141" t="str">
        <f t="shared" si="133"/>
        <v>999</v>
      </c>
      <c r="J1540" s="141" t="s">
        <v>4327</v>
      </c>
      <c r="K1540" s="141">
        <v>980</v>
      </c>
      <c r="L1540" s="141">
        <v>1</v>
      </c>
      <c r="M1540" s="141">
        <v>0</v>
      </c>
      <c r="N1540" s="141">
        <v>5000</v>
      </c>
      <c r="O1540" s="141" t="s">
        <v>4777</v>
      </c>
      <c r="P1540" s="141" t="s">
        <v>4430</v>
      </c>
    </row>
    <row r="1541" spans="1:16" ht="25.5">
      <c r="A1541" s="141">
        <v>76807</v>
      </c>
      <c r="B1541" s="141" t="s">
        <v>4325</v>
      </c>
      <c r="C1541" s="142">
        <v>41201</v>
      </c>
      <c r="D1541" s="141">
        <v>416</v>
      </c>
      <c r="E1541" s="141" t="str">
        <f t="shared" si="132"/>
        <v>001</v>
      </c>
      <c r="F1541" s="141" t="s">
        <v>4326</v>
      </c>
      <c r="G1541" s="141" t="str">
        <f t="shared" ref="G1541:G1553" si="134">"1426"</f>
        <v>1426</v>
      </c>
      <c r="H1541" s="141" t="s">
        <v>1651</v>
      </c>
      <c r="I1541" s="141" t="str">
        <f t="shared" si="133"/>
        <v>999</v>
      </c>
      <c r="J1541" s="141" t="s">
        <v>4327</v>
      </c>
      <c r="K1541" s="141">
        <v>1142</v>
      </c>
      <c r="L1541" s="141">
        <v>1</v>
      </c>
      <c r="M1541" s="141">
        <v>0</v>
      </c>
      <c r="N1541" s="141">
        <v>16000</v>
      </c>
      <c r="O1541" s="141" t="s">
        <v>4353</v>
      </c>
      <c r="P1541" s="141" t="s">
        <v>4418</v>
      </c>
    </row>
    <row r="1542" spans="1:16" ht="25.5">
      <c r="A1542" s="141">
        <v>76807</v>
      </c>
      <c r="B1542" s="141" t="s">
        <v>4325</v>
      </c>
      <c r="C1542" s="142">
        <v>41201</v>
      </c>
      <c r="D1542" s="141">
        <v>416</v>
      </c>
      <c r="E1542" s="141" t="str">
        <f t="shared" si="132"/>
        <v>001</v>
      </c>
      <c r="F1542" s="141" t="s">
        <v>4326</v>
      </c>
      <c r="G1542" s="141" t="str">
        <f t="shared" si="134"/>
        <v>1426</v>
      </c>
      <c r="H1542" s="141" t="s">
        <v>1651</v>
      </c>
      <c r="I1542" s="141" t="str">
        <f t="shared" si="133"/>
        <v>999</v>
      </c>
      <c r="J1542" s="141" t="s">
        <v>4327</v>
      </c>
      <c r="K1542" s="141">
        <v>1143</v>
      </c>
      <c r="L1542" s="141">
        <v>4</v>
      </c>
      <c r="M1542" s="141">
        <v>0</v>
      </c>
      <c r="N1542" s="141">
        <v>3000</v>
      </c>
      <c r="O1542" s="141" t="s">
        <v>4343</v>
      </c>
      <c r="P1542" s="141"/>
    </row>
    <row r="1543" spans="1:16" ht="25.5">
      <c r="A1543" s="141">
        <v>76807</v>
      </c>
      <c r="B1543" s="141" t="s">
        <v>4325</v>
      </c>
      <c r="C1543" s="142">
        <v>41201</v>
      </c>
      <c r="D1543" s="141">
        <v>416</v>
      </c>
      <c r="E1543" s="141" t="str">
        <f t="shared" si="132"/>
        <v>001</v>
      </c>
      <c r="F1543" s="141" t="s">
        <v>4326</v>
      </c>
      <c r="G1543" s="141" t="str">
        <f t="shared" si="134"/>
        <v>1426</v>
      </c>
      <c r="H1543" s="141" t="s">
        <v>1651</v>
      </c>
      <c r="I1543" s="141" t="str">
        <f t="shared" si="133"/>
        <v>999</v>
      </c>
      <c r="J1543" s="141" t="s">
        <v>4327</v>
      </c>
      <c r="K1543" s="141">
        <v>1144</v>
      </c>
      <c r="L1543" s="141">
        <v>4</v>
      </c>
      <c r="M1543" s="141">
        <v>0</v>
      </c>
      <c r="N1543" s="141">
        <v>9000</v>
      </c>
      <c r="O1543" s="141" t="s">
        <v>4408</v>
      </c>
      <c r="P1543" s="141"/>
    </row>
    <row r="1544" spans="1:16" ht="25.5">
      <c r="A1544" s="141">
        <v>76807</v>
      </c>
      <c r="B1544" s="141" t="s">
        <v>4325</v>
      </c>
      <c r="C1544" s="142">
        <v>41201</v>
      </c>
      <c r="D1544" s="141">
        <v>416</v>
      </c>
      <c r="E1544" s="141" t="str">
        <f t="shared" si="132"/>
        <v>001</v>
      </c>
      <c r="F1544" s="141" t="s">
        <v>4326</v>
      </c>
      <c r="G1544" s="141" t="str">
        <f t="shared" si="134"/>
        <v>1426</v>
      </c>
      <c r="H1544" s="141" t="s">
        <v>1651</v>
      </c>
      <c r="I1544" s="141" t="str">
        <f t="shared" si="133"/>
        <v>999</v>
      </c>
      <c r="J1544" s="141" t="s">
        <v>4327</v>
      </c>
      <c r="K1544" s="141">
        <v>1145</v>
      </c>
      <c r="L1544" s="141">
        <v>4</v>
      </c>
      <c r="M1544" s="141">
        <v>0</v>
      </c>
      <c r="N1544" s="141">
        <v>2000</v>
      </c>
      <c r="O1544" s="141" t="s">
        <v>4350</v>
      </c>
      <c r="P1544" s="141"/>
    </row>
    <row r="1545" spans="1:16" ht="25.5">
      <c r="A1545" s="141">
        <v>76807</v>
      </c>
      <c r="B1545" s="141" t="s">
        <v>4325</v>
      </c>
      <c r="C1545" s="142">
        <v>41201</v>
      </c>
      <c r="D1545" s="141">
        <v>416</v>
      </c>
      <c r="E1545" s="141" t="str">
        <f t="shared" si="132"/>
        <v>001</v>
      </c>
      <c r="F1545" s="141" t="s">
        <v>4326</v>
      </c>
      <c r="G1545" s="141" t="str">
        <f t="shared" si="134"/>
        <v>1426</v>
      </c>
      <c r="H1545" s="141" t="s">
        <v>1651</v>
      </c>
      <c r="I1545" s="141" t="str">
        <f t="shared" si="133"/>
        <v>999</v>
      </c>
      <c r="J1545" s="141" t="s">
        <v>4327</v>
      </c>
      <c r="K1545" s="141">
        <v>1146</v>
      </c>
      <c r="L1545" s="141">
        <v>1</v>
      </c>
      <c r="M1545" s="141">
        <v>0</v>
      </c>
      <c r="N1545" s="141">
        <v>8000</v>
      </c>
      <c r="O1545" s="141" t="s">
        <v>4337</v>
      </c>
      <c r="P1545" s="141" t="s">
        <v>4778</v>
      </c>
    </row>
    <row r="1546" spans="1:16" ht="25.5">
      <c r="A1546" s="141">
        <v>76807</v>
      </c>
      <c r="B1546" s="141" t="s">
        <v>4325</v>
      </c>
      <c r="C1546" s="142">
        <v>41201</v>
      </c>
      <c r="D1546" s="141">
        <v>416</v>
      </c>
      <c r="E1546" s="141" t="str">
        <f t="shared" si="132"/>
        <v>001</v>
      </c>
      <c r="F1546" s="141" t="s">
        <v>4326</v>
      </c>
      <c r="G1546" s="141" t="str">
        <f t="shared" si="134"/>
        <v>1426</v>
      </c>
      <c r="H1546" s="141" t="s">
        <v>1651</v>
      </c>
      <c r="I1546" s="141" t="str">
        <f t="shared" si="133"/>
        <v>999</v>
      </c>
      <c r="J1546" s="141" t="s">
        <v>4327</v>
      </c>
      <c r="K1546" s="141">
        <v>1147</v>
      </c>
      <c r="L1546" s="141">
        <v>1</v>
      </c>
      <c r="M1546" s="141">
        <v>0</v>
      </c>
      <c r="N1546" s="141">
        <v>6000</v>
      </c>
      <c r="O1546" s="141" t="s">
        <v>4511</v>
      </c>
      <c r="P1546" s="141"/>
    </row>
    <row r="1547" spans="1:16" ht="25.5">
      <c r="A1547" s="141">
        <v>76807</v>
      </c>
      <c r="B1547" s="141" t="s">
        <v>4325</v>
      </c>
      <c r="C1547" s="142">
        <v>41201</v>
      </c>
      <c r="D1547" s="141">
        <v>416</v>
      </c>
      <c r="E1547" s="141" t="str">
        <f t="shared" si="132"/>
        <v>001</v>
      </c>
      <c r="F1547" s="141" t="s">
        <v>4326</v>
      </c>
      <c r="G1547" s="141" t="str">
        <f t="shared" si="134"/>
        <v>1426</v>
      </c>
      <c r="H1547" s="141" t="s">
        <v>1651</v>
      </c>
      <c r="I1547" s="141" t="str">
        <f t="shared" si="133"/>
        <v>999</v>
      </c>
      <c r="J1547" s="141" t="s">
        <v>4327</v>
      </c>
      <c r="K1547" s="141">
        <v>1148</v>
      </c>
      <c r="L1547" s="141">
        <v>4</v>
      </c>
      <c r="M1547" s="141">
        <v>0</v>
      </c>
      <c r="N1547" s="141">
        <v>44000</v>
      </c>
      <c r="O1547" s="141" t="s">
        <v>4334</v>
      </c>
      <c r="P1547" s="141" t="s">
        <v>4595</v>
      </c>
    </row>
    <row r="1548" spans="1:16" ht="25.5">
      <c r="A1548" s="141">
        <v>76807</v>
      </c>
      <c r="B1548" s="141" t="s">
        <v>4325</v>
      </c>
      <c r="C1548" s="142">
        <v>41201</v>
      </c>
      <c r="D1548" s="141">
        <v>416</v>
      </c>
      <c r="E1548" s="141" t="str">
        <f t="shared" si="132"/>
        <v>001</v>
      </c>
      <c r="F1548" s="141" t="s">
        <v>4326</v>
      </c>
      <c r="G1548" s="141" t="str">
        <f t="shared" si="134"/>
        <v>1426</v>
      </c>
      <c r="H1548" s="141" t="s">
        <v>1651</v>
      </c>
      <c r="I1548" s="141" t="str">
        <f t="shared" si="133"/>
        <v>999</v>
      </c>
      <c r="J1548" s="141" t="s">
        <v>4327</v>
      </c>
      <c r="K1548" s="141">
        <v>1149</v>
      </c>
      <c r="L1548" s="141">
        <v>6</v>
      </c>
      <c r="M1548" s="141">
        <v>0</v>
      </c>
      <c r="N1548" s="141">
        <v>29000</v>
      </c>
      <c r="O1548" s="141" t="s">
        <v>4357</v>
      </c>
      <c r="P1548" s="141" t="s">
        <v>4362</v>
      </c>
    </row>
    <row r="1549" spans="1:16" ht="25.5">
      <c r="A1549" s="141">
        <v>76807</v>
      </c>
      <c r="B1549" s="141" t="s">
        <v>4325</v>
      </c>
      <c r="C1549" s="142">
        <v>41201</v>
      </c>
      <c r="D1549" s="141">
        <v>416</v>
      </c>
      <c r="E1549" s="141" t="str">
        <f t="shared" si="132"/>
        <v>001</v>
      </c>
      <c r="F1549" s="141" t="s">
        <v>4326</v>
      </c>
      <c r="G1549" s="141" t="str">
        <f t="shared" si="134"/>
        <v>1426</v>
      </c>
      <c r="H1549" s="141" t="s">
        <v>1651</v>
      </c>
      <c r="I1549" s="141" t="str">
        <f t="shared" si="133"/>
        <v>999</v>
      </c>
      <c r="J1549" s="141" t="s">
        <v>4327</v>
      </c>
      <c r="K1549" s="141">
        <v>1150</v>
      </c>
      <c r="L1549" s="141">
        <v>8</v>
      </c>
      <c r="M1549" s="141">
        <v>0</v>
      </c>
      <c r="N1549" s="141">
        <v>17000</v>
      </c>
      <c r="O1549" s="141" t="s">
        <v>4408</v>
      </c>
      <c r="P1549" s="141"/>
    </row>
    <row r="1550" spans="1:16" ht="25.5">
      <c r="A1550" s="141">
        <v>76807</v>
      </c>
      <c r="B1550" s="141" t="s">
        <v>4325</v>
      </c>
      <c r="C1550" s="142">
        <v>41201</v>
      </c>
      <c r="D1550" s="141">
        <v>416</v>
      </c>
      <c r="E1550" s="141" t="str">
        <f t="shared" si="132"/>
        <v>001</v>
      </c>
      <c r="F1550" s="141" t="s">
        <v>4326</v>
      </c>
      <c r="G1550" s="141" t="str">
        <f t="shared" si="134"/>
        <v>1426</v>
      </c>
      <c r="H1550" s="141" t="s">
        <v>1651</v>
      </c>
      <c r="I1550" s="141" t="str">
        <f t="shared" si="133"/>
        <v>999</v>
      </c>
      <c r="J1550" s="141" t="s">
        <v>4327</v>
      </c>
      <c r="K1550" s="141">
        <v>1151</v>
      </c>
      <c r="L1550" s="141">
        <v>1</v>
      </c>
      <c r="M1550" s="141">
        <v>0</v>
      </c>
      <c r="N1550" s="141">
        <v>6000</v>
      </c>
      <c r="O1550" s="141" t="s">
        <v>4407</v>
      </c>
      <c r="P1550" s="141"/>
    </row>
    <row r="1551" spans="1:16" ht="25.5">
      <c r="A1551" s="141">
        <v>76807</v>
      </c>
      <c r="B1551" s="141" t="s">
        <v>4325</v>
      </c>
      <c r="C1551" s="142">
        <v>41201</v>
      </c>
      <c r="D1551" s="141">
        <v>416</v>
      </c>
      <c r="E1551" s="141" t="str">
        <f t="shared" si="132"/>
        <v>001</v>
      </c>
      <c r="F1551" s="141" t="s">
        <v>4326</v>
      </c>
      <c r="G1551" s="141" t="str">
        <f t="shared" si="134"/>
        <v>1426</v>
      </c>
      <c r="H1551" s="141" t="s">
        <v>1651</v>
      </c>
      <c r="I1551" s="141" t="str">
        <f t="shared" si="133"/>
        <v>999</v>
      </c>
      <c r="J1551" s="141" t="s">
        <v>4327</v>
      </c>
      <c r="K1551" s="141">
        <v>1152</v>
      </c>
      <c r="L1551" s="141">
        <v>1</v>
      </c>
      <c r="M1551" s="141">
        <v>0</v>
      </c>
      <c r="N1551" s="141">
        <v>32000</v>
      </c>
      <c r="O1551" s="141" t="s">
        <v>4337</v>
      </c>
      <c r="P1551" s="141" t="s">
        <v>4480</v>
      </c>
    </row>
    <row r="1552" spans="1:16" ht="25.5">
      <c r="A1552" s="141">
        <v>76807</v>
      </c>
      <c r="B1552" s="141" t="s">
        <v>4325</v>
      </c>
      <c r="C1552" s="142">
        <v>41201</v>
      </c>
      <c r="D1552" s="141">
        <v>416</v>
      </c>
      <c r="E1552" s="141" t="str">
        <f t="shared" si="132"/>
        <v>001</v>
      </c>
      <c r="F1552" s="141" t="s">
        <v>4326</v>
      </c>
      <c r="G1552" s="141" t="str">
        <f t="shared" si="134"/>
        <v>1426</v>
      </c>
      <c r="H1552" s="141" t="s">
        <v>1651</v>
      </c>
      <c r="I1552" s="141" t="str">
        <f t="shared" si="133"/>
        <v>999</v>
      </c>
      <c r="J1552" s="141" t="s">
        <v>4327</v>
      </c>
      <c r="K1552" s="141">
        <v>1153</v>
      </c>
      <c r="L1552" s="141">
        <v>2</v>
      </c>
      <c r="M1552" s="141">
        <v>0</v>
      </c>
      <c r="N1552" s="141">
        <v>3000</v>
      </c>
      <c r="O1552" s="141" t="s">
        <v>4515</v>
      </c>
      <c r="P1552" s="141"/>
    </row>
    <row r="1553" spans="1:16" ht="25.5">
      <c r="A1553" s="141">
        <v>76807</v>
      </c>
      <c r="B1553" s="141" t="s">
        <v>4325</v>
      </c>
      <c r="C1553" s="142">
        <v>41201</v>
      </c>
      <c r="D1553" s="141">
        <v>416</v>
      </c>
      <c r="E1553" s="141" t="str">
        <f t="shared" si="132"/>
        <v>001</v>
      </c>
      <c r="F1553" s="141" t="s">
        <v>4326</v>
      </c>
      <c r="G1553" s="141" t="str">
        <f t="shared" si="134"/>
        <v>1426</v>
      </c>
      <c r="H1553" s="141" t="s">
        <v>1651</v>
      </c>
      <c r="I1553" s="141" t="str">
        <f t="shared" si="133"/>
        <v>999</v>
      </c>
      <c r="J1553" s="141" t="s">
        <v>4327</v>
      </c>
      <c r="K1553" s="141">
        <v>1154</v>
      </c>
      <c r="L1553" s="141">
        <v>1</v>
      </c>
      <c r="M1553" s="141">
        <v>0</v>
      </c>
      <c r="N1553" s="141">
        <v>112000</v>
      </c>
      <c r="O1553" s="141" t="s">
        <v>4366</v>
      </c>
      <c r="P1553" s="141" t="s">
        <v>4367</v>
      </c>
    </row>
    <row r="1554" spans="1:16" ht="25.5">
      <c r="A1554" s="141">
        <v>76807</v>
      </c>
      <c r="B1554" s="141" t="s">
        <v>4325</v>
      </c>
      <c r="C1554" s="142">
        <v>41201</v>
      </c>
      <c r="D1554" s="141">
        <v>339</v>
      </c>
      <c r="E1554" s="141" t="str">
        <f t="shared" si="132"/>
        <v>001</v>
      </c>
      <c r="F1554" s="141" t="s">
        <v>4326</v>
      </c>
      <c r="G1554" s="141" t="str">
        <f t="shared" ref="G1554:G1563" si="135">"1429"</f>
        <v>1429</v>
      </c>
      <c r="H1554" s="141" t="s">
        <v>4779</v>
      </c>
      <c r="I1554" s="141" t="str">
        <f t="shared" si="133"/>
        <v>999</v>
      </c>
      <c r="J1554" s="141" t="s">
        <v>4327</v>
      </c>
      <c r="K1554" s="141">
        <v>524</v>
      </c>
      <c r="L1554" s="141">
        <v>1</v>
      </c>
      <c r="M1554" s="141">
        <v>0</v>
      </c>
      <c r="N1554" s="141">
        <v>21000</v>
      </c>
      <c r="O1554" s="141" t="s">
        <v>4328</v>
      </c>
      <c r="P1554" s="141" t="s">
        <v>4780</v>
      </c>
    </row>
    <row r="1555" spans="1:16" ht="25.5">
      <c r="A1555" s="141">
        <v>76807</v>
      </c>
      <c r="B1555" s="141" t="s">
        <v>4325</v>
      </c>
      <c r="C1555" s="142">
        <v>41201</v>
      </c>
      <c r="D1555" s="141">
        <v>339</v>
      </c>
      <c r="E1555" s="141" t="str">
        <f t="shared" si="132"/>
        <v>001</v>
      </c>
      <c r="F1555" s="141" t="s">
        <v>4326</v>
      </c>
      <c r="G1555" s="141" t="str">
        <f t="shared" si="135"/>
        <v>1429</v>
      </c>
      <c r="H1555" s="141" t="s">
        <v>4779</v>
      </c>
      <c r="I1555" s="141" t="str">
        <f t="shared" si="133"/>
        <v>999</v>
      </c>
      <c r="J1555" s="141" t="s">
        <v>4327</v>
      </c>
      <c r="K1555" s="141">
        <v>525</v>
      </c>
      <c r="L1555" s="141">
        <v>2</v>
      </c>
      <c r="M1555" s="141">
        <v>0</v>
      </c>
      <c r="N1555" s="141">
        <v>9000</v>
      </c>
      <c r="O1555" s="141" t="s">
        <v>4357</v>
      </c>
      <c r="P1555" s="141" t="s">
        <v>4362</v>
      </c>
    </row>
    <row r="1556" spans="1:16" ht="25.5">
      <c r="A1556" s="141">
        <v>76807</v>
      </c>
      <c r="B1556" s="141" t="s">
        <v>4325</v>
      </c>
      <c r="C1556" s="142">
        <v>41201</v>
      </c>
      <c r="D1556" s="141">
        <v>339</v>
      </c>
      <c r="E1556" s="141" t="str">
        <f t="shared" si="132"/>
        <v>001</v>
      </c>
      <c r="F1556" s="141" t="s">
        <v>4326</v>
      </c>
      <c r="G1556" s="141" t="str">
        <f t="shared" si="135"/>
        <v>1429</v>
      </c>
      <c r="H1556" s="141" t="s">
        <v>4779</v>
      </c>
      <c r="I1556" s="141" t="str">
        <f t="shared" si="133"/>
        <v>999</v>
      </c>
      <c r="J1556" s="141" t="s">
        <v>4327</v>
      </c>
      <c r="K1556" s="141">
        <v>526</v>
      </c>
      <c r="L1556" s="141">
        <v>2</v>
      </c>
      <c r="M1556" s="141">
        <v>0</v>
      </c>
      <c r="N1556" s="141">
        <v>6000</v>
      </c>
      <c r="O1556" s="141" t="s">
        <v>4339</v>
      </c>
      <c r="P1556" s="141" t="s">
        <v>4335</v>
      </c>
    </row>
    <row r="1557" spans="1:16" ht="25.5">
      <c r="A1557" s="141">
        <v>76807</v>
      </c>
      <c r="B1557" s="141" t="s">
        <v>4325</v>
      </c>
      <c r="C1557" s="142">
        <v>41201</v>
      </c>
      <c r="D1557" s="141">
        <v>339</v>
      </c>
      <c r="E1557" s="141" t="str">
        <f t="shared" si="132"/>
        <v>001</v>
      </c>
      <c r="F1557" s="141" t="s">
        <v>4326</v>
      </c>
      <c r="G1557" s="141" t="str">
        <f t="shared" si="135"/>
        <v>1429</v>
      </c>
      <c r="H1557" s="141" t="s">
        <v>4779</v>
      </c>
      <c r="I1557" s="141" t="str">
        <f t="shared" si="133"/>
        <v>999</v>
      </c>
      <c r="J1557" s="141" t="s">
        <v>4327</v>
      </c>
      <c r="K1557" s="141">
        <v>527</v>
      </c>
      <c r="L1557" s="141">
        <v>1</v>
      </c>
      <c r="M1557" s="141">
        <v>0</v>
      </c>
      <c r="N1557" s="141">
        <v>3000</v>
      </c>
      <c r="O1557" s="141" t="s">
        <v>4353</v>
      </c>
      <c r="P1557" s="141" t="s">
        <v>4365</v>
      </c>
    </row>
    <row r="1558" spans="1:16" ht="25.5">
      <c r="A1558" s="141">
        <v>76807</v>
      </c>
      <c r="B1558" s="141" t="s">
        <v>4325</v>
      </c>
      <c r="C1558" s="142">
        <v>41201</v>
      </c>
      <c r="D1558" s="141">
        <v>339</v>
      </c>
      <c r="E1558" s="141" t="str">
        <f t="shared" si="132"/>
        <v>001</v>
      </c>
      <c r="F1558" s="141" t="s">
        <v>4326</v>
      </c>
      <c r="G1558" s="141" t="str">
        <f t="shared" si="135"/>
        <v>1429</v>
      </c>
      <c r="H1558" s="141" t="s">
        <v>4779</v>
      </c>
      <c r="I1558" s="141" t="str">
        <f t="shared" si="133"/>
        <v>999</v>
      </c>
      <c r="J1558" s="141" t="s">
        <v>4327</v>
      </c>
      <c r="K1558" s="141">
        <v>528</v>
      </c>
      <c r="L1558" s="141">
        <v>1</v>
      </c>
      <c r="M1558" s="141">
        <v>0</v>
      </c>
      <c r="N1558" s="141">
        <v>3000</v>
      </c>
      <c r="O1558" s="141" t="s">
        <v>4353</v>
      </c>
      <c r="P1558" s="141" t="s">
        <v>4365</v>
      </c>
    </row>
    <row r="1559" spans="1:16" ht="25.5">
      <c r="A1559" s="141">
        <v>76807</v>
      </c>
      <c r="B1559" s="141" t="s">
        <v>4325</v>
      </c>
      <c r="C1559" s="142">
        <v>41201</v>
      </c>
      <c r="D1559" s="141">
        <v>339</v>
      </c>
      <c r="E1559" s="141" t="str">
        <f t="shared" si="132"/>
        <v>001</v>
      </c>
      <c r="F1559" s="141" t="s">
        <v>4326</v>
      </c>
      <c r="G1559" s="141" t="str">
        <f t="shared" si="135"/>
        <v>1429</v>
      </c>
      <c r="H1559" s="141" t="s">
        <v>4779</v>
      </c>
      <c r="I1559" s="141" t="str">
        <f t="shared" si="133"/>
        <v>999</v>
      </c>
      <c r="J1559" s="141" t="s">
        <v>4327</v>
      </c>
      <c r="K1559" s="141">
        <v>529</v>
      </c>
      <c r="L1559" s="141">
        <v>1</v>
      </c>
      <c r="M1559" s="141">
        <v>0</v>
      </c>
      <c r="N1559" s="141">
        <v>3000</v>
      </c>
      <c r="O1559" s="141" t="s">
        <v>4353</v>
      </c>
      <c r="P1559" s="141" t="s">
        <v>4365</v>
      </c>
    </row>
    <row r="1560" spans="1:16" ht="25.5">
      <c r="A1560" s="141">
        <v>76807</v>
      </c>
      <c r="B1560" s="141" t="s">
        <v>4325</v>
      </c>
      <c r="C1560" s="142">
        <v>41201</v>
      </c>
      <c r="D1560" s="141">
        <v>339</v>
      </c>
      <c r="E1560" s="141" t="str">
        <f t="shared" si="132"/>
        <v>001</v>
      </c>
      <c r="F1560" s="141" t="s">
        <v>4326</v>
      </c>
      <c r="G1560" s="141" t="str">
        <f t="shared" si="135"/>
        <v>1429</v>
      </c>
      <c r="H1560" s="141" t="s">
        <v>4779</v>
      </c>
      <c r="I1560" s="141" t="str">
        <f t="shared" si="133"/>
        <v>999</v>
      </c>
      <c r="J1560" s="141" t="s">
        <v>4327</v>
      </c>
      <c r="K1560" s="141">
        <v>530</v>
      </c>
      <c r="L1560" s="141">
        <v>1</v>
      </c>
      <c r="M1560" s="141">
        <v>0</v>
      </c>
      <c r="N1560" s="141">
        <v>3000</v>
      </c>
      <c r="O1560" s="141" t="s">
        <v>4353</v>
      </c>
      <c r="P1560" s="141" t="s">
        <v>4365</v>
      </c>
    </row>
    <row r="1561" spans="1:16" ht="25.5">
      <c r="A1561" s="141">
        <v>76807</v>
      </c>
      <c r="B1561" s="141" t="s">
        <v>4325</v>
      </c>
      <c r="C1561" s="142">
        <v>41201</v>
      </c>
      <c r="D1561" s="141">
        <v>339</v>
      </c>
      <c r="E1561" s="141" t="str">
        <f t="shared" si="132"/>
        <v>001</v>
      </c>
      <c r="F1561" s="141" t="s">
        <v>4326</v>
      </c>
      <c r="G1561" s="141" t="str">
        <f t="shared" si="135"/>
        <v>1429</v>
      </c>
      <c r="H1561" s="141" t="s">
        <v>4779</v>
      </c>
      <c r="I1561" s="141" t="str">
        <f t="shared" si="133"/>
        <v>999</v>
      </c>
      <c r="J1561" s="141" t="s">
        <v>4327</v>
      </c>
      <c r="K1561" s="141">
        <v>531</v>
      </c>
      <c r="L1561" s="141">
        <v>1</v>
      </c>
      <c r="M1561" s="141">
        <v>0</v>
      </c>
      <c r="N1561" s="141">
        <v>3000</v>
      </c>
      <c r="O1561" s="141" t="s">
        <v>4353</v>
      </c>
      <c r="P1561" s="141" t="s">
        <v>4365</v>
      </c>
    </row>
    <row r="1562" spans="1:16" ht="25.5">
      <c r="A1562" s="141">
        <v>76807</v>
      </c>
      <c r="B1562" s="141" t="s">
        <v>4325</v>
      </c>
      <c r="C1562" s="142">
        <v>41201</v>
      </c>
      <c r="D1562" s="141">
        <v>339</v>
      </c>
      <c r="E1562" s="141" t="str">
        <f t="shared" si="132"/>
        <v>001</v>
      </c>
      <c r="F1562" s="141" t="s">
        <v>4326</v>
      </c>
      <c r="G1562" s="141" t="str">
        <f t="shared" si="135"/>
        <v>1429</v>
      </c>
      <c r="H1562" s="141" t="s">
        <v>4779</v>
      </c>
      <c r="I1562" s="141" t="str">
        <f t="shared" si="133"/>
        <v>999</v>
      </c>
      <c r="J1562" s="141" t="s">
        <v>4327</v>
      </c>
      <c r="K1562" s="141">
        <v>532</v>
      </c>
      <c r="L1562" s="141">
        <v>14</v>
      </c>
      <c r="M1562" s="141">
        <v>0</v>
      </c>
      <c r="N1562" s="141">
        <v>8000</v>
      </c>
      <c r="O1562" s="141" t="s">
        <v>4350</v>
      </c>
      <c r="P1562" s="141"/>
    </row>
    <row r="1563" spans="1:16" ht="25.5">
      <c r="A1563" s="141">
        <v>76807</v>
      </c>
      <c r="B1563" s="141" t="s">
        <v>4325</v>
      </c>
      <c r="C1563" s="142">
        <v>41201</v>
      </c>
      <c r="D1563" s="141">
        <v>339</v>
      </c>
      <c r="E1563" s="141" t="str">
        <f t="shared" si="132"/>
        <v>001</v>
      </c>
      <c r="F1563" s="141" t="s">
        <v>4326</v>
      </c>
      <c r="G1563" s="141" t="str">
        <f t="shared" si="135"/>
        <v>1429</v>
      </c>
      <c r="H1563" s="141" t="s">
        <v>4779</v>
      </c>
      <c r="I1563" s="141" t="str">
        <f t="shared" si="133"/>
        <v>999</v>
      </c>
      <c r="J1563" s="141" t="s">
        <v>4327</v>
      </c>
      <c r="K1563" s="141">
        <v>533</v>
      </c>
      <c r="L1563" s="141">
        <v>2</v>
      </c>
      <c r="M1563" s="141">
        <v>0</v>
      </c>
      <c r="N1563" s="141">
        <v>4000</v>
      </c>
      <c r="O1563" s="141" t="s">
        <v>4592</v>
      </c>
      <c r="P1563" s="141"/>
    </row>
    <row r="1564" spans="1:16" ht="25.5">
      <c r="A1564" s="141">
        <v>76807</v>
      </c>
      <c r="B1564" s="141" t="s">
        <v>4325</v>
      </c>
      <c r="C1564" s="142">
        <v>41201</v>
      </c>
      <c r="D1564" s="141">
        <v>711</v>
      </c>
      <c r="E1564" s="141" t="str">
        <f t="shared" si="132"/>
        <v>001</v>
      </c>
      <c r="F1564" s="141" t="s">
        <v>4326</v>
      </c>
      <c r="G1564" s="141" t="str">
        <f t="shared" ref="G1564:G1625" si="136">"1431"</f>
        <v>1431</v>
      </c>
      <c r="H1564" s="141" t="s">
        <v>2614</v>
      </c>
      <c r="I1564" s="141" t="str">
        <f t="shared" si="133"/>
        <v>999</v>
      </c>
      <c r="J1564" s="141" t="s">
        <v>4327</v>
      </c>
      <c r="K1564" s="141">
        <v>2035</v>
      </c>
      <c r="L1564" s="141">
        <v>1</v>
      </c>
      <c r="M1564" s="141">
        <v>0</v>
      </c>
      <c r="N1564" s="141">
        <v>3000</v>
      </c>
      <c r="O1564" s="141" t="s">
        <v>4405</v>
      </c>
      <c r="P1564" s="141" t="s">
        <v>4372</v>
      </c>
    </row>
    <row r="1565" spans="1:16" ht="25.5">
      <c r="A1565" s="141">
        <v>76807</v>
      </c>
      <c r="B1565" s="141" t="s">
        <v>4325</v>
      </c>
      <c r="C1565" s="142">
        <v>41201</v>
      </c>
      <c r="D1565" s="141">
        <v>711</v>
      </c>
      <c r="E1565" s="141" t="str">
        <f t="shared" si="132"/>
        <v>001</v>
      </c>
      <c r="F1565" s="141" t="s">
        <v>4326</v>
      </c>
      <c r="G1565" s="141" t="str">
        <f t="shared" si="136"/>
        <v>1431</v>
      </c>
      <c r="H1565" s="141" t="s">
        <v>2614</v>
      </c>
      <c r="I1565" s="141" t="str">
        <f t="shared" si="133"/>
        <v>999</v>
      </c>
      <c r="J1565" s="141" t="s">
        <v>4327</v>
      </c>
      <c r="K1565" s="141">
        <v>2036</v>
      </c>
      <c r="L1565" s="141">
        <v>1</v>
      </c>
      <c r="M1565" s="141">
        <v>0</v>
      </c>
      <c r="N1565" s="141">
        <v>3000</v>
      </c>
      <c r="O1565" s="141" t="s">
        <v>4405</v>
      </c>
      <c r="P1565" s="141" t="s">
        <v>4372</v>
      </c>
    </row>
    <row r="1566" spans="1:16" ht="25.5">
      <c r="A1566" s="141">
        <v>76807</v>
      </c>
      <c r="B1566" s="141" t="s">
        <v>4325</v>
      </c>
      <c r="C1566" s="142">
        <v>41201</v>
      </c>
      <c r="D1566" s="141">
        <v>711</v>
      </c>
      <c r="E1566" s="141" t="str">
        <f t="shared" si="132"/>
        <v>001</v>
      </c>
      <c r="F1566" s="141" t="s">
        <v>4326</v>
      </c>
      <c r="G1566" s="141" t="str">
        <f t="shared" si="136"/>
        <v>1431</v>
      </c>
      <c r="H1566" s="141" t="s">
        <v>2614</v>
      </c>
      <c r="I1566" s="141" t="str">
        <f t="shared" si="133"/>
        <v>999</v>
      </c>
      <c r="J1566" s="141" t="s">
        <v>4327</v>
      </c>
      <c r="K1566" s="141">
        <v>2037</v>
      </c>
      <c r="L1566" s="141">
        <v>1</v>
      </c>
      <c r="M1566" s="141">
        <v>0</v>
      </c>
      <c r="N1566" s="141">
        <v>3000</v>
      </c>
      <c r="O1566" s="141" t="s">
        <v>4405</v>
      </c>
      <c r="P1566" s="141" t="s">
        <v>4372</v>
      </c>
    </row>
    <row r="1567" spans="1:16" ht="25.5">
      <c r="A1567" s="141">
        <v>76807</v>
      </c>
      <c r="B1567" s="141" t="s">
        <v>4325</v>
      </c>
      <c r="C1567" s="142">
        <v>41201</v>
      </c>
      <c r="D1567" s="141">
        <v>711</v>
      </c>
      <c r="E1567" s="141" t="str">
        <f t="shared" si="132"/>
        <v>001</v>
      </c>
      <c r="F1567" s="141" t="s">
        <v>4326</v>
      </c>
      <c r="G1567" s="141" t="str">
        <f t="shared" si="136"/>
        <v>1431</v>
      </c>
      <c r="H1567" s="141" t="s">
        <v>2614</v>
      </c>
      <c r="I1567" s="141" t="str">
        <f t="shared" si="133"/>
        <v>999</v>
      </c>
      <c r="J1567" s="141" t="s">
        <v>4327</v>
      </c>
      <c r="K1567" s="141">
        <v>2038</v>
      </c>
      <c r="L1567" s="141">
        <v>1</v>
      </c>
      <c r="M1567" s="141">
        <v>0</v>
      </c>
      <c r="N1567" s="141">
        <v>3000</v>
      </c>
      <c r="O1567" s="141" t="s">
        <v>4405</v>
      </c>
      <c r="P1567" s="141" t="s">
        <v>4372</v>
      </c>
    </row>
    <row r="1568" spans="1:16" ht="25.5">
      <c r="A1568" s="141">
        <v>76807</v>
      </c>
      <c r="B1568" s="141" t="s">
        <v>4325</v>
      </c>
      <c r="C1568" s="142">
        <v>41201</v>
      </c>
      <c r="D1568" s="141">
        <v>711</v>
      </c>
      <c r="E1568" s="141" t="str">
        <f t="shared" si="132"/>
        <v>001</v>
      </c>
      <c r="F1568" s="141" t="s">
        <v>4326</v>
      </c>
      <c r="G1568" s="141" t="str">
        <f t="shared" si="136"/>
        <v>1431</v>
      </c>
      <c r="H1568" s="141" t="s">
        <v>2614</v>
      </c>
      <c r="I1568" s="141" t="str">
        <f t="shared" si="133"/>
        <v>999</v>
      </c>
      <c r="J1568" s="141" t="s">
        <v>4327</v>
      </c>
      <c r="K1568" s="141">
        <v>2039</v>
      </c>
      <c r="L1568" s="141">
        <v>1</v>
      </c>
      <c r="M1568" s="141">
        <v>0</v>
      </c>
      <c r="N1568" s="141">
        <v>3000</v>
      </c>
      <c r="O1568" s="141" t="s">
        <v>4405</v>
      </c>
      <c r="P1568" s="141" t="s">
        <v>4372</v>
      </c>
    </row>
    <row r="1569" spans="1:16" ht="25.5">
      <c r="A1569" s="141">
        <v>76807</v>
      </c>
      <c r="B1569" s="141" t="s">
        <v>4325</v>
      </c>
      <c r="C1569" s="142">
        <v>41201</v>
      </c>
      <c r="D1569" s="141">
        <v>711</v>
      </c>
      <c r="E1569" s="141" t="str">
        <f t="shared" si="132"/>
        <v>001</v>
      </c>
      <c r="F1569" s="141" t="s">
        <v>4326</v>
      </c>
      <c r="G1569" s="141" t="str">
        <f t="shared" si="136"/>
        <v>1431</v>
      </c>
      <c r="H1569" s="141" t="s">
        <v>2614</v>
      </c>
      <c r="I1569" s="141" t="str">
        <f t="shared" si="133"/>
        <v>999</v>
      </c>
      <c r="J1569" s="141" t="s">
        <v>4327</v>
      </c>
      <c r="K1569" s="141">
        <v>2040</v>
      </c>
      <c r="L1569" s="141">
        <v>1</v>
      </c>
      <c r="M1569" s="141">
        <v>0</v>
      </c>
      <c r="N1569" s="141">
        <v>3000</v>
      </c>
      <c r="O1569" s="141" t="s">
        <v>4405</v>
      </c>
      <c r="P1569" s="141" t="s">
        <v>4372</v>
      </c>
    </row>
    <row r="1570" spans="1:16" ht="25.5">
      <c r="A1570" s="141">
        <v>76807</v>
      </c>
      <c r="B1570" s="141" t="s">
        <v>4325</v>
      </c>
      <c r="C1570" s="142">
        <v>41201</v>
      </c>
      <c r="D1570" s="141">
        <v>711</v>
      </c>
      <c r="E1570" s="141" t="str">
        <f t="shared" si="132"/>
        <v>001</v>
      </c>
      <c r="F1570" s="141" t="s">
        <v>4326</v>
      </c>
      <c r="G1570" s="141" t="str">
        <f t="shared" si="136"/>
        <v>1431</v>
      </c>
      <c r="H1570" s="141" t="s">
        <v>2614</v>
      </c>
      <c r="I1570" s="141" t="str">
        <f t="shared" si="133"/>
        <v>999</v>
      </c>
      <c r="J1570" s="141" t="s">
        <v>4327</v>
      </c>
      <c r="K1570" s="141">
        <v>2041</v>
      </c>
      <c r="L1570" s="141">
        <v>1</v>
      </c>
      <c r="M1570" s="141">
        <v>0</v>
      </c>
      <c r="N1570" s="141">
        <v>3000</v>
      </c>
      <c r="O1570" s="141" t="s">
        <v>4405</v>
      </c>
      <c r="P1570" s="141" t="s">
        <v>4372</v>
      </c>
    </row>
    <row r="1571" spans="1:16" ht="25.5">
      <c r="A1571" s="141">
        <v>76807</v>
      </c>
      <c r="B1571" s="141" t="s">
        <v>4325</v>
      </c>
      <c r="C1571" s="142">
        <v>41201</v>
      </c>
      <c r="D1571" s="141">
        <v>711</v>
      </c>
      <c r="E1571" s="141" t="str">
        <f t="shared" si="132"/>
        <v>001</v>
      </c>
      <c r="F1571" s="141" t="s">
        <v>4326</v>
      </c>
      <c r="G1571" s="141" t="str">
        <f t="shared" si="136"/>
        <v>1431</v>
      </c>
      <c r="H1571" s="141" t="s">
        <v>2614</v>
      </c>
      <c r="I1571" s="141" t="str">
        <f t="shared" si="133"/>
        <v>999</v>
      </c>
      <c r="J1571" s="141" t="s">
        <v>4327</v>
      </c>
      <c r="K1571" s="141">
        <v>2042</v>
      </c>
      <c r="L1571" s="141">
        <v>1</v>
      </c>
      <c r="M1571" s="141">
        <v>0</v>
      </c>
      <c r="N1571" s="141">
        <v>3000</v>
      </c>
      <c r="O1571" s="141" t="s">
        <v>4405</v>
      </c>
      <c r="P1571" s="141" t="s">
        <v>4372</v>
      </c>
    </row>
    <row r="1572" spans="1:16" ht="25.5">
      <c r="A1572" s="141">
        <v>76807</v>
      </c>
      <c r="B1572" s="141" t="s">
        <v>4325</v>
      </c>
      <c r="C1572" s="142">
        <v>41201</v>
      </c>
      <c r="D1572" s="141">
        <v>711</v>
      </c>
      <c r="E1572" s="141" t="str">
        <f t="shared" si="132"/>
        <v>001</v>
      </c>
      <c r="F1572" s="141" t="s">
        <v>4326</v>
      </c>
      <c r="G1572" s="141" t="str">
        <f t="shared" si="136"/>
        <v>1431</v>
      </c>
      <c r="H1572" s="141" t="s">
        <v>2614</v>
      </c>
      <c r="I1572" s="141" t="str">
        <f t="shared" si="133"/>
        <v>999</v>
      </c>
      <c r="J1572" s="141" t="s">
        <v>4327</v>
      </c>
      <c r="K1572" s="141">
        <v>2043</v>
      </c>
      <c r="L1572" s="141">
        <v>1</v>
      </c>
      <c r="M1572" s="141">
        <v>0</v>
      </c>
      <c r="N1572" s="141">
        <v>3000</v>
      </c>
      <c r="O1572" s="141" t="s">
        <v>4405</v>
      </c>
      <c r="P1572" s="141" t="s">
        <v>4372</v>
      </c>
    </row>
    <row r="1573" spans="1:16" ht="25.5">
      <c r="A1573" s="141">
        <v>76807</v>
      </c>
      <c r="B1573" s="141" t="s">
        <v>4325</v>
      </c>
      <c r="C1573" s="142">
        <v>41201</v>
      </c>
      <c r="D1573" s="141">
        <v>711</v>
      </c>
      <c r="E1573" s="141" t="str">
        <f t="shared" si="132"/>
        <v>001</v>
      </c>
      <c r="F1573" s="141" t="s">
        <v>4326</v>
      </c>
      <c r="G1573" s="141" t="str">
        <f t="shared" si="136"/>
        <v>1431</v>
      </c>
      <c r="H1573" s="141" t="s">
        <v>2614</v>
      </c>
      <c r="I1573" s="141" t="str">
        <f t="shared" si="133"/>
        <v>999</v>
      </c>
      <c r="J1573" s="141" t="s">
        <v>4327</v>
      </c>
      <c r="K1573" s="141">
        <v>2044</v>
      </c>
      <c r="L1573" s="141">
        <v>1</v>
      </c>
      <c r="M1573" s="141">
        <v>0</v>
      </c>
      <c r="N1573" s="141">
        <v>3000</v>
      </c>
      <c r="O1573" s="141" t="s">
        <v>4405</v>
      </c>
      <c r="P1573" s="141" t="s">
        <v>4372</v>
      </c>
    </row>
    <row r="1574" spans="1:16" ht="25.5">
      <c r="A1574" s="141">
        <v>76807</v>
      </c>
      <c r="B1574" s="141" t="s">
        <v>4325</v>
      </c>
      <c r="C1574" s="142">
        <v>41201</v>
      </c>
      <c r="D1574" s="141">
        <v>711</v>
      </c>
      <c r="E1574" s="141" t="str">
        <f t="shared" si="132"/>
        <v>001</v>
      </c>
      <c r="F1574" s="141" t="s">
        <v>4326</v>
      </c>
      <c r="G1574" s="141" t="str">
        <f t="shared" si="136"/>
        <v>1431</v>
      </c>
      <c r="H1574" s="141" t="s">
        <v>2614</v>
      </c>
      <c r="I1574" s="141" t="str">
        <f t="shared" si="133"/>
        <v>999</v>
      </c>
      <c r="J1574" s="141" t="s">
        <v>4327</v>
      </c>
      <c r="K1574" s="141">
        <v>2045</v>
      </c>
      <c r="L1574" s="141">
        <v>1</v>
      </c>
      <c r="M1574" s="141">
        <v>0</v>
      </c>
      <c r="N1574" s="141">
        <v>3000</v>
      </c>
      <c r="O1574" s="141" t="s">
        <v>4405</v>
      </c>
      <c r="P1574" s="141" t="s">
        <v>4372</v>
      </c>
    </row>
    <row r="1575" spans="1:16" ht="25.5">
      <c r="A1575" s="141">
        <v>76807</v>
      </c>
      <c r="B1575" s="141" t="s">
        <v>4325</v>
      </c>
      <c r="C1575" s="142">
        <v>41201</v>
      </c>
      <c r="D1575" s="141">
        <v>711</v>
      </c>
      <c r="E1575" s="141" t="str">
        <f t="shared" si="132"/>
        <v>001</v>
      </c>
      <c r="F1575" s="141" t="s">
        <v>4326</v>
      </c>
      <c r="G1575" s="141" t="str">
        <f t="shared" si="136"/>
        <v>1431</v>
      </c>
      <c r="H1575" s="141" t="s">
        <v>2614</v>
      </c>
      <c r="I1575" s="141" t="str">
        <f t="shared" si="133"/>
        <v>999</v>
      </c>
      <c r="J1575" s="141" t="s">
        <v>4327</v>
      </c>
      <c r="K1575" s="141">
        <v>2046</v>
      </c>
      <c r="L1575" s="141">
        <v>1</v>
      </c>
      <c r="M1575" s="141">
        <v>0</v>
      </c>
      <c r="N1575" s="141">
        <v>3000</v>
      </c>
      <c r="O1575" s="141" t="s">
        <v>4405</v>
      </c>
      <c r="P1575" s="141" t="s">
        <v>4372</v>
      </c>
    </row>
    <row r="1576" spans="1:16" ht="25.5">
      <c r="A1576" s="141">
        <v>76807</v>
      </c>
      <c r="B1576" s="141" t="s">
        <v>4325</v>
      </c>
      <c r="C1576" s="142">
        <v>41201</v>
      </c>
      <c r="D1576" s="141">
        <v>711</v>
      </c>
      <c r="E1576" s="141" t="str">
        <f t="shared" si="132"/>
        <v>001</v>
      </c>
      <c r="F1576" s="141" t="s">
        <v>4326</v>
      </c>
      <c r="G1576" s="141" t="str">
        <f t="shared" si="136"/>
        <v>1431</v>
      </c>
      <c r="H1576" s="141" t="s">
        <v>2614</v>
      </c>
      <c r="I1576" s="141" t="str">
        <f t="shared" si="133"/>
        <v>999</v>
      </c>
      <c r="J1576" s="141" t="s">
        <v>4327</v>
      </c>
      <c r="K1576" s="141">
        <v>2047</v>
      </c>
      <c r="L1576" s="141">
        <v>1</v>
      </c>
      <c r="M1576" s="141">
        <v>0</v>
      </c>
      <c r="N1576" s="141">
        <v>3000</v>
      </c>
      <c r="O1576" s="141" t="s">
        <v>4405</v>
      </c>
      <c r="P1576" s="141" t="s">
        <v>4372</v>
      </c>
    </row>
    <row r="1577" spans="1:16" ht="25.5">
      <c r="A1577" s="141">
        <v>76807</v>
      </c>
      <c r="B1577" s="141" t="s">
        <v>4325</v>
      </c>
      <c r="C1577" s="142">
        <v>41201</v>
      </c>
      <c r="D1577" s="141">
        <v>711</v>
      </c>
      <c r="E1577" s="141" t="str">
        <f t="shared" si="132"/>
        <v>001</v>
      </c>
      <c r="F1577" s="141" t="s">
        <v>4326</v>
      </c>
      <c r="G1577" s="141" t="str">
        <f t="shared" si="136"/>
        <v>1431</v>
      </c>
      <c r="H1577" s="141" t="s">
        <v>2614</v>
      </c>
      <c r="I1577" s="141" t="str">
        <f t="shared" si="133"/>
        <v>999</v>
      </c>
      <c r="J1577" s="141" t="s">
        <v>4327</v>
      </c>
      <c r="K1577" s="141">
        <v>2048</v>
      </c>
      <c r="L1577" s="141">
        <v>1</v>
      </c>
      <c r="M1577" s="141">
        <v>0</v>
      </c>
      <c r="N1577" s="141">
        <v>3000</v>
      </c>
      <c r="O1577" s="141" t="s">
        <v>4405</v>
      </c>
      <c r="P1577" s="141" t="s">
        <v>4372</v>
      </c>
    </row>
    <row r="1578" spans="1:16" ht="25.5">
      <c r="A1578" s="141">
        <v>76807</v>
      </c>
      <c r="B1578" s="141" t="s">
        <v>4325</v>
      </c>
      <c r="C1578" s="142">
        <v>41201</v>
      </c>
      <c r="D1578" s="141">
        <v>711</v>
      </c>
      <c r="E1578" s="141" t="str">
        <f t="shared" si="132"/>
        <v>001</v>
      </c>
      <c r="F1578" s="141" t="s">
        <v>4326</v>
      </c>
      <c r="G1578" s="141" t="str">
        <f t="shared" si="136"/>
        <v>1431</v>
      </c>
      <c r="H1578" s="141" t="s">
        <v>2614</v>
      </c>
      <c r="I1578" s="141" t="str">
        <f t="shared" si="133"/>
        <v>999</v>
      </c>
      <c r="J1578" s="141" t="s">
        <v>4327</v>
      </c>
      <c r="K1578" s="141">
        <v>2049</v>
      </c>
      <c r="L1578" s="141">
        <v>1</v>
      </c>
      <c r="M1578" s="141">
        <v>0</v>
      </c>
      <c r="N1578" s="141">
        <v>3000</v>
      </c>
      <c r="O1578" s="141" t="s">
        <v>4405</v>
      </c>
      <c r="P1578" s="141" t="s">
        <v>4372</v>
      </c>
    </row>
    <row r="1579" spans="1:16" ht="25.5">
      <c r="A1579" s="141">
        <v>76807</v>
      </c>
      <c r="B1579" s="141" t="s">
        <v>4325</v>
      </c>
      <c r="C1579" s="142">
        <v>41201</v>
      </c>
      <c r="D1579" s="141">
        <v>711</v>
      </c>
      <c r="E1579" s="141" t="str">
        <f t="shared" si="132"/>
        <v>001</v>
      </c>
      <c r="F1579" s="141" t="s">
        <v>4326</v>
      </c>
      <c r="G1579" s="141" t="str">
        <f t="shared" si="136"/>
        <v>1431</v>
      </c>
      <c r="H1579" s="141" t="s">
        <v>2614</v>
      </c>
      <c r="I1579" s="141" t="str">
        <f t="shared" si="133"/>
        <v>999</v>
      </c>
      <c r="J1579" s="141" t="s">
        <v>4327</v>
      </c>
      <c r="K1579" s="141">
        <v>2050</v>
      </c>
      <c r="L1579" s="141">
        <v>1</v>
      </c>
      <c r="M1579" s="141">
        <v>0</v>
      </c>
      <c r="N1579" s="141">
        <v>3000</v>
      </c>
      <c r="O1579" s="141" t="s">
        <v>4405</v>
      </c>
      <c r="P1579" s="141" t="s">
        <v>4372</v>
      </c>
    </row>
    <row r="1580" spans="1:16" ht="25.5">
      <c r="A1580" s="141">
        <v>76807</v>
      </c>
      <c r="B1580" s="141" t="s">
        <v>4325</v>
      </c>
      <c r="C1580" s="142">
        <v>41201</v>
      </c>
      <c r="D1580" s="141">
        <v>711</v>
      </c>
      <c r="E1580" s="141" t="str">
        <f t="shared" si="132"/>
        <v>001</v>
      </c>
      <c r="F1580" s="141" t="s">
        <v>4326</v>
      </c>
      <c r="G1580" s="141" t="str">
        <f t="shared" si="136"/>
        <v>1431</v>
      </c>
      <c r="H1580" s="141" t="s">
        <v>2614</v>
      </c>
      <c r="I1580" s="141" t="str">
        <f t="shared" si="133"/>
        <v>999</v>
      </c>
      <c r="J1580" s="141" t="s">
        <v>4327</v>
      </c>
      <c r="K1580" s="141">
        <v>2051</v>
      </c>
      <c r="L1580" s="141">
        <v>1</v>
      </c>
      <c r="M1580" s="141">
        <v>0</v>
      </c>
      <c r="N1580" s="141">
        <v>3000</v>
      </c>
      <c r="O1580" s="141" t="s">
        <v>4405</v>
      </c>
      <c r="P1580" s="141" t="s">
        <v>4372</v>
      </c>
    </row>
    <row r="1581" spans="1:16" ht="25.5">
      <c r="A1581" s="141">
        <v>76807</v>
      </c>
      <c r="B1581" s="141" t="s">
        <v>4325</v>
      </c>
      <c r="C1581" s="142">
        <v>41201</v>
      </c>
      <c r="D1581" s="141">
        <v>711</v>
      </c>
      <c r="E1581" s="141" t="str">
        <f t="shared" si="132"/>
        <v>001</v>
      </c>
      <c r="F1581" s="141" t="s">
        <v>4326</v>
      </c>
      <c r="G1581" s="141" t="str">
        <f t="shared" si="136"/>
        <v>1431</v>
      </c>
      <c r="H1581" s="141" t="s">
        <v>2614</v>
      </c>
      <c r="I1581" s="141" t="str">
        <f t="shared" si="133"/>
        <v>999</v>
      </c>
      <c r="J1581" s="141" t="s">
        <v>4327</v>
      </c>
      <c r="K1581" s="141">
        <v>2052</v>
      </c>
      <c r="L1581" s="141">
        <v>1</v>
      </c>
      <c r="M1581" s="141">
        <v>0</v>
      </c>
      <c r="N1581" s="141">
        <v>3000</v>
      </c>
      <c r="O1581" s="141" t="s">
        <v>4405</v>
      </c>
      <c r="P1581" s="141" t="s">
        <v>4372</v>
      </c>
    </row>
    <row r="1582" spans="1:16" ht="25.5">
      <c r="A1582" s="141">
        <v>76807</v>
      </c>
      <c r="B1582" s="141" t="s">
        <v>4325</v>
      </c>
      <c r="C1582" s="142">
        <v>41201</v>
      </c>
      <c r="D1582" s="141">
        <v>711</v>
      </c>
      <c r="E1582" s="141" t="str">
        <f t="shared" si="132"/>
        <v>001</v>
      </c>
      <c r="F1582" s="141" t="s">
        <v>4326</v>
      </c>
      <c r="G1582" s="141" t="str">
        <f t="shared" si="136"/>
        <v>1431</v>
      </c>
      <c r="H1582" s="141" t="s">
        <v>2614</v>
      </c>
      <c r="I1582" s="141" t="str">
        <f t="shared" si="133"/>
        <v>999</v>
      </c>
      <c r="J1582" s="141" t="s">
        <v>4327</v>
      </c>
      <c r="K1582" s="141">
        <v>2053</v>
      </c>
      <c r="L1582" s="141">
        <v>1</v>
      </c>
      <c r="M1582" s="141">
        <v>0</v>
      </c>
      <c r="N1582" s="141">
        <v>2000</v>
      </c>
      <c r="O1582" s="141" t="s">
        <v>4405</v>
      </c>
      <c r="P1582" s="141" t="s">
        <v>4737</v>
      </c>
    </row>
    <row r="1583" spans="1:16" ht="25.5">
      <c r="A1583" s="141">
        <v>76807</v>
      </c>
      <c r="B1583" s="141" t="s">
        <v>4325</v>
      </c>
      <c r="C1583" s="142">
        <v>41201</v>
      </c>
      <c r="D1583" s="141">
        <v>711</v>
      </c>
      <c r="E1583" s="141" t="str">
        <f t="shared" si="132"/>
        <v>001</v>
      </c>
      <c r="F1583" s="141" t="s">
        <v>4326</v>
      </c>
      <c r="G1583" s="141" t="str">
        <f t="shared" si="136"/>
        <v>1431</v>
      </c>
      <c r="H1583" s="141" t="s">
        <v>2614</v>
      </c>
      <c r="I1583" s="141" t="str">
        <f t="shared" si="133"/>
        <v>999</v>
      </c>
      <c r="J1583" s="141" t="s">
        <v>4327</v>
      </c>
      <c r="K1583" s="141">
        <v>2054</v>
      </c>
      <c r="L1583" s="141">
        <v>1</v>
      </c>
      <c r="M1583" s="141">
        <v>0</v>
      </c>
      <c r="N1583" s="141">
        <v>2000</v>
      </c>
      <c r="O1583" s="141" t="s">
        <v>4405</v>
      </c>
      <c r="P1583" s="141" t="s">
        <v>4737</v>
      </c>
    </row>
    <row r="1584" spans="1:16" ht="25.5">
      <c r="A1584" s="141">
        <v>76807</v>
      </c>
      <c r="B1584" s="141" t="s">
        <v>4325</v>
      </c>
      <c r="C1584" s="142">
        <v>41201</v>
      </c>
      <c r="D1584" s="141">
        <v>711</v>
      </c>
      <c r="E1584" s="141" t="str">
        <f t="shared" si="132"/>
        <v>001</v>
      </c>
      <c r="F1584" s="141" t="s">
        <v>4326</v>
      </c>
      <c r="G1584" s="141" t="str">
        <f t="shared" si="136"/>
        <v>1431</v>
      </c>
      <c r="H1584" s="141" t="s">
        <v>2614</v>
      </c>
      <c r="I1584" s="141" t="str">
        <f t="shared" si="133"/>
        <v>999</v>
      </c>
      <c r="J1584" s="141" t="s">
        <v>4327</v>
      </c>
      <c r="K1584" s="141">
        <v>2055</v>
      </c>
      <c r="L1584" s="141">
        <v>1</v>
      </c>
      <c r="M1584" s="141">
        <v>0</v>
      </c>
      <c r="N1584" s="141">
        <v>2000</v>
      </c>
      <c r="O1584" s="141" t="s">
        <v>4405</v>
      </c>
      <c r="P1584" s="141" t="s">
        <v>4737</v>
      </c>
    </row>
    <row r="1585" spans="1:16" ht="25.5">
      <c r="A1585" s="141">
        <v>76807</v>
      </c>
      <c r="B1585" s="141" t="s">
        <v>4325</v>
      </c>
      <c r="C1585" s="142">
        <v>41201</v>
      </c>
      <c r="D1585" s="141">
        <v>711</v>
      </c>
      <c r="E1585" s="141" t="str">
        <f t="shared" si="132"/>
        <v>001</v>
      </c>
      <c r="F1585" s="141" t="s">
        <v>4326</v>
      </c>
      <c r="G1585" s="141" t="str">
        <f t="shared" si="136"/>
        <v>1431</v>
      </c>
      <c r="H1585" s="141" t="s">
        <v>2614</v>
      </c>
      <c r="I1585" s="141" t="str">
        <f t="shared" si="133"/>
        <v>999</v>
      </c>
      <c r="J1585" s="141" t="s">
        <v>4327</v>
      </c>
      <c r="K1585" s="141">
        <v>2056</v>
      </c>
      <c r="L1585" s="141">
        <v>1</v>
      </c>
      <c r="M1585" s="141">
        <v>0</v>
      </c>
      <c r="N1585" s="141">
        <v>2000</v>
      </c>
      <c r="O1585" s="141" t="s">
        <v>4405</v>
      </c>
      <c r="P1585" s="141" t="s">
        <v>4737</v>
      </c>
    </row>
    <row r="1586" spans="1:16" ht="25.5">
      <c r="A1586" s="141">
        <v>76807</v>
      </c>
      <c r="B1586" s="141" t="s">
        <v>4325</v>
      </c>
      <c r="C1586" s="142">
        <v>41201</v>
      </c>
      <c r="D1586" s="141">
        <v>711</v>
      </c>
      <c r="E1586" s="141" t="str">
        <f t="shared" si="132"/>
        <v>001</v>
      </c>
      <c r="F1586" s="141" t="s">
        <v>4326</v>
      </c>
      <c r="G1586" s="141" t="str">
        <f t="shared" si="136"/>
        <v>1431</v>
      </c>
      <c r="H1586" s="141" t="s">
        <v>2614</v>
      </c>
      <c r="I1586" s="141" t="str">
        <f t="shared" si="133"/>
        <v>999</v>
      </c>
      <c r="J1586" s="141" t="s">
        <v>4327</v>
      </c>
      <c r="K1586" s="141">
        <v>2057</v>
      </c>
      <c r="L1586" s="141">
        <v>1</v>
      </c>
      <c r="M1586" s="141">
        <v>0</v>
      </c>
      <c r="N1586" s="141">
        <v>2000</v>
      </c>
      <c r="O1586" s="141" t="s">
        <v>4405</v>
      </c>
      <c r="P1586" s="141" t="s">
        <v>4737</v>
      </c>
    </row>
    <row r="1587" spans="1:16" ht="25.5">
      <c r="A1587" s="141">
        <v>76807</v>
      </c>
      <c r="B1587" s="141" t="s">
        <v>4325</v>
      </c>
      <c r="C1587" s="142">
        <v>41201</v>
      </c>
      <c r="D1587" s="141">
        <v>711</v>
      </c>
      <c r="E1587" s="141" t="str">
        <f t="shared" si="132"/>
        <v>001</v>
      </c>
      <c r="F1587" s="141" t="s">
        <v>4326</v>
      </c>
      <c r="G1587" s="141" t="str">
        <f t="shared" si="136"/>
        <v>1431</v>
      </c>
      <c r="H1587" s="141" t="s">
        <v>2614</v>
      </c>
      <c r="I1587" s="141" t="str">
        <f t="shared" si="133"/>
        <v>999</v>
      </c>
      <c r="J1587" s="141" t="s">
        <v>4327</v>
      </c>
      <c r="K1587" s="141">
        <v>2058</v>
      </c>
      <c r="L1587" s="141">
        <v>1</v>
      </c>
      <c r="M1587" s="141">
        <v>0</v>
      </c>
      <c r="N1587" s="141">
        <v>2000</v>
      </c>
      <c r="O1587" s="141" t="s">
        <v>4405</v>
      </c>
      <c r="P1587" s="141" t="s">
        <v>4737</v>
      </c>
    </row>
    <row r="1588" spans="1:16" ht="25.5">
      <c r="A1588" s="141">
        <v>76807</v>
      </c>
      <c r="B1588" s="141" t="s">
        <v>4325</v>
      </c>
      <c r="C1588" s="142">
        <v>41201</v>
      </c>
      <c r="D1588" s="141">
        <v>711</v>
      </c>
      <c r="E1588" s="141" t="str">
        <f t="shared" si="132"/>
        <v>001</v>
      </c>
      <c r="F1588" s="141" t="s">
        <v>4326</v>
      </c>
      <c r="G1588" s="141" t="str">
        <f t="shared" si="136"/>
        <v>1431</v>
      </c>
      <c r="H1588" s="141" t="s">
        <v>2614</v>
      </c>
      <c r="I1588" s="141" t="str">
        <f t="shared" si="133"/>
        <v>999</v>
      </c>
      <c r="J1588" s="141" t="s">
        <v>4327</v>
      </c>
      <c r="K1588" s="141">
        <v>2059</v>
      </c>
      <c r="L1588" s="141">
        <v>1</v>
      </c>
      <c r="M1588" s="141">
        <v>0</v>
      </c>
      <c r="N1588" s="141">
        <v>2000</v>
      </c>
      <c r="O1588" s="141" t="s">
        <v>4405</v>
      </c>
      <c r="P1588" s="141" t="s">
        <v>4737</v>
      </c>
    </row>
    <row r="1589" spans="1:16" ht="25.5">
      <c r="A1589" s="141">
        <v>76807</v>
      </c>
      <c r="B1589" s="141" t="s">
        <v>4325</v>
      </c>
      <c r="C1589" s="142">
        <v>41201</v>
      </c>
      <c r="D1589" s="141">
        <v>711</v>
      </c>
      <c r="E1589" s="141" t="str">
        <f t="shared" si="132"/>
        <v>001</v>
      </c>
      <c r="F1589" s="141" t="s">
        <v>4326</v>
      </c>
      <c r="G1589" s="141" t="str">
        <f t="shared" si="136"/>
        <v>1431</v>
      </c>
      <c r="H1589" s="141" t="s">
        <v>2614</v>
      </c>
      <c r="I1589" s="141" t="str">
        <f t="shared" si="133"/>
        <v>999</v>
      </c>
      <c r="J1589" s="141" t="s">
        <v>4327</v>
      </c>
      <c r="K1589" s="141">
        <v>2060</v>
      </c>
      <c r="L1589" s="141">
        <v>1</v>
      </c>
      <c r="M1589" s="141">
        <v>0</v>
      </c>
      <c r="N1589" s="141">
        <v>2000</v>
      </c>
      <c r="O1589" s="141" t="s">
        <v>4405</v>
      </c>
      <c r="P1589" s="141" t="s">
        <v>4737</v>
      </c>
    </row>
    <row r="1590" spans="1:16" ht="25.5">
      <c r="A1590" s="141">
        <v>76807</v>
      </c>
      <c r="B1590" s="141" t="s">
        <v>4325</v>
      </c>
      <c r="C1590" s="142">
        <v>41201</v>
      </c>
      <c r="D1590" s="141">
        <v>711</v>
      </c>
      <c r="E1590" s="141" t="str">
        <f t="shared" si="132"/>
        <v>001</v>
      </c>
      <c r="F1590" s="141" t="s">
        <v>4326</v>
      </c>
      <c r="G1590" s="141" t="str">
        <f t="shared" si="136"/>
        <v>1431</v>
      </c>
      <c r="H1590" s="141" t="s">
        <v>2614</v>
      </c>
      <c r="I1590" s="141" t="str">
        <f t="shared" si="133"/>
        <v>999</v>
      </c>
      <c r="J1590" s="141" t="s">
        <v>4327</v>
      </c>
      <c r="K1590" s="141">
        <v>2061</v>
      </c>
      <c r="L1590" s="141">
        <v>1</v>
      </c>
      <c r="M1590" s="141">
        <v>0</v>
      </c>
      <c r="N1590" s="141">
        <v>2000</v>
      </c>
      <c r="O1590" s="141" t="s">
        <v>4405</v>
      </c>
      <c r="P1590" s="141" t="s">
        <v>4737</v>
      </c>
    </row>
    <row r="1591" spans="1:16" ht="25.5">
      <c r="A1591" s="141">
        <v>76807</v>
      </c>
      <c r="B1591" s="141" t="s">
        <v>4325</v>
      </c>
      <c r="C1591" s="142">
        <v>41201</v>
      </c>
      <c r="D1591" s="141">
        <v>711</v>
      </c>
      <c r="E1591" s="141" t="str">
        <f t="shared" si="132"/>
        <v>001</v>
      </c>
      <c r="F1591" s="141" t="s">
        <v>4326</v>
      </c>
      <c r="G1591" s="141" t="str">
        <f t="shared" si="136"/>
        <v>1431</v>
      </c>
      <c r="H1591" s="141" t="s">
        <v>2614</v>
      </c>
      <c r="I1591" s="141" t="str">
        <f t="shared" si="133"/>
        <v>999</v>
      </c>
      <c r="J1591" s="141" t="s">
        <v>4327</v>
      </c>
      <c r="K1591" s="141">
        <v>2062</v>
      </c>
      <c r="L1591" s="141">
        <v>1</v>
      </c>
      <c r="M1591" s="141">
        <v>0</v>
      </c>
      <c r="N1591" s="141">
        <v>2000</v>
      </c>
      <c r="O1591" s="141" t="s">
        <v>4405</v>
      </c>
      <c r="P1591" s="141" t="s">
        <v>4737</v>
      </c>
    </row>
    <row r="1592" spans="1:16" ht="25.5">
      <c r="A1592" s="141">
        <v>76807</v>
      </c>
      <c r="B1592" s="141" t="s">
        <v>4325</v>
      </c>
      <c r="C1592" s="142">
        <v>41201</v>
      </c>
      <c r="D1592" s="141">
        <v>711</v>
      </c>
      <c r="E1592" s="141" t="str">
        <f t="shared" si="132"/>
        <v>001</v>
      </c>
      <c r="F1592" s="141" t="s">
        <v>4326</v>
      </c>
      <c r="G1592" s="141" t="str">
        <f t="shared" si="136"/>
        <v>1431</v>
      </c>
      <c r="H1592" s="141" t="s">
        <v>2614</v>
      </c>
      <c r="I1592" s="141" t="str">
        <f t="shared" si="133"/>
        <v>999</v>
      </c>
      <c r="J1592" s="141" t="s">
        <v>4327</v>
      </c>
      <c r="K1592" s="141">
        <v>2063</v>
      </c>
      <c r="L1592" s="141">
        <v>1</v>
      </c>
      <c r="M1592" s="141">
        <v>0</v>
      </c>
      <c r="N1592" s="141">
        <v>2000</v>
      </c>
      <c r="O1592" s="141" t="s">
        <v>4405</v>
      </c>
      <c r="P1592" s="141" t="s">
        <v>4737</v>
      </c>
    </row>
    <row r="1593" spans="1:16" ht="25.5">
      <c r="A1593" s="141">
        <v>76807</v>
      </c>
      <c r="B1593" s="141" t="s">
        <v>4325</v>
      </c>
      <c r="C1593" s="142">
        <v>41201</v>
      </c>
      <c r="D1593" s="141">
        <v>711</v>
      </c>
      <c r="E1593" s="141" t="str">
        <f t="shared" si="132"/>
        <v>001</v>
      </c>
      <c r="F1593" s="141" t="s">
        <v>4326</v>
      </c>
      <c r="G1593" s="141" t="str">
        <f t="shared" si="136"/>
        <v>1431</v>
      </c>
      <c r="H1593" s="141" t="s">
        <v>2614</v>
      </c>
      <c r="I1593" s="141" t="str">
        <f t="shared" si="133"/>
        <v>999</v>
      </c>
      <c r="J1593" s="141" t="s">
        <v>4327</v>
      </c>
      <c r="K1593" s="141">
        <v>2064</v>
      </c>
      <c r="L1593" s="141">
        <v>1</v>
      </c>
      <c r="M1593" s="141">
        <v>0</v>
      </c>
      <c r="N1593" s="141">
        <v>2000</v>
      </c>
      <c r="O1593" s="141" t="s">
        <v>4405</v>
      </c>
      <c r="P1593" s="141" t="s">
        <v>4737</v>
      </c>
    </row>
    <row r="1594" spans="1:16" ht="25.5">
      <c r="A1594" s="141">
        <v>76807</v>
      </c>
      <c r="B1594" s="141" t="s">
        <v>4325</v>
      </c>
      <c r="C1594" s="142">
        <v>41201</v>
      </c>
      <c r="D1594" s="141">
        <v>711</v>
      </c>
      <c r="E1594" s="141" t="str">
        <f t="shared" si="132"/>
        <v>001</v>
      </c>
      <c r="F1594" s="141" t="s">
        <v>4326</v>
      </c>
      <c r="G1594" s="141" t="str">
        <f t="shared" si="136"/>
        <v>1431</v>
      </c>
      <c r="H1594" s="141" t="s">
        <v>2614</v>
      </c>
      <c r="I1594" s="141" t="str">
        <f t="shared" si="133"/>
        <v>999</v>
      </c>
      <c r="J1594" s="141" t="s">
        <v>4327</v>
      </c>
      <c r="K1594" s="141">
        <v>2065</v>
      </c>
      <c r="L1594" s="141">
        <v>1</v>
      </c>
      <c r="M1594" s="141">
        <v>0</v>
      </c>
      <c r="N1594" s="141">
        <v>1000</v>
      </c>
      <c r="O1594" s="141" t="s">
        <v>4405</v>
      </c>
      <c r="P1594" s="141" t="s">
        <v>4781</v>
      </c>
    </row>
    <row r="1595" spans="1:16" ht="25.5">
      <c r="A1595" s="141">
        <v>76807</v>
      </c>
      <c r="B1595" s="141" t="s">
        <v>4325</v>
      </c>
      <c r="C1595" s="142">
        <v>41201</v>
      </c>
      <c r="D1595" s="141">
        <v>711</v>
      </c>
      <c r="E1595" s="141" t="str">
        <f t="shared" si="132"/>
        <v>001</v>
      </c>
      <c r="F1595" s="141" t="s">
        <v>4326</v>
      </c>
      <c r="G1595" s="141" t="str">
        <f t="shared" si="136"/>
        <v>1431</v>
      </c>
      <c r="H1595" s="141" t="s">
        <v>2614</v>
      </c>
      <c r="I1595" s="141" t="str">
        <f t="shared" si="133"/>
        <v>999</v>
      </c>
      <c r="J1595" s="141" t="s">
        <v>4327</v>
      </c>
      <c r="K1595" s="141">
        <v>2066</v>
      </c>
      <c r="L1595" s="141">
        <v>1</v>
      </c>
      <c r="M1595" s="141">
        <v>0</v>
      </c>
      <c r="N1595" s="141">
        <v>1000</v>
      </c>
      <c r="O1595" s="141" t="s">
        <v>4405</v>
      </c>
      <c r="P1595" s="141" t="s">
        <v>4781</v>
      </c>
    </row>
    <row r="1596" spans="1:16" ht="25.5">
      <c r="A1596" s="141">
        <v>76807</v>
      </c>
      <c r="B1596" s="141" t="s">
        <v>4325</v>
      </c>
      <c r="C1596" s="142">
        <v>41201</v>
      </c>
      <c r="D1596" s="141">
        <v>711</v>
      </c>
      <c r="E1596" s="141" t="str">
        <f t="shared" si="132"/>
        <v>001</v>
      </c>
      <c r="F1596" s="141" t="s">
        <v>4326</v>
      </c>
      <c r="G1596" s="141" t="str">
        <f t="shared" si="136"/>
        <v>1431</v>
      </c>
      <c r="H1596" s="141" t="s">
        <v>2614</v>
      </c>
      <c r="I1596" s="141" t="str">
        <f t="shared" si="133"/>
        <v>999</v>
      </c>
      <c r="J1596" s="141" t="s">
        <v>4327</v>
      </c>
      <c r="K1596" s="141">
        <v>2197</v>
      </c>
      <c r="L1596" s="141">
        <v>1</v>
      </c>
      <c r="M1596" s="141">
        <v>0</v>
      </c>
      <c r="N1596" s="141">
        <v>81000</v>
      </c>
      <c r="O1596" s="141" t="s">
        <v>4337</v>
      </c>
      <c r="P1596" s="141" t="s">
        <v>4782</v>
      </c>
    </row>
    <row r="1597" spans="1:16" ht="25.5">
      <c r="A1597" s="141">
        <v>76807</v>
      </c>
      <c r="B1597" s="141" t="s">
        <v>4325</v>
      </c>
      <c r="C1597" s="142">
        <v>41201</v>
      </c>
      <c r="D1597" s="141">
        <v>711</v>
      </c>
      <c r="E1597" s="141" t="str">
        <f t="shared" si="132"/>
        <v>001</v>
      </c>
      <c r="F1597" s="141" t="s">
        <v>4326</v>
      </c>
      <c r="G1597" s="141" t="str">
        <f t="shared" si="136"/>
        <v>1431</v>
      </c>
      <c r="H1597" s="141" t="s">
        <v>2614</v>
      </c>
      <c r="I1597" s="141" t="str">
        <f t="shared" si="133"/>
        <v>999</v>
      </c>
      <c r="J1597" s="141" t="s">
        <v>4327</v>
      </c>
      <c r="K1597" s="141">
        <v>2198</v>
      </c>
      <c r="L1597" s="141">
        <v>1</v>
      </c>
      <c r="M1597" s="141">
        <v>0</v>
      </c>
      <c r="N1597" s="141">
        <v>48000</v>
      </c>
      <c r="O1597" s="141" t="s">
        <v>4518</v>
      </c>
      <c r="P1597" s="141" t="s">
        <v>4514</v>
      </c>
    </row>
    <row r="1598" spans="1:16" ht="25.5">
      <c r="A1598" s="141">
        <v>76807</v>
      </c>
      <c r="B1598" s="141" t="s">
        <v>4325</v>
      </c>
      <c r="C1598" s="142">
        <v>41201</v>
      </c>
      <c r="D1598" s="141">
        <v>711</v>
      </c>
      <c r="E1598" s="141" t="str">
        <f t="shared" si="132"/>
        <v>001</v>
      </c>
      <c r="F1598" s="141" t="s">
        <v>4326</v>
      </c>
      <c r="G1598" s="141" t="str">
        <f t="shared" si="136"/>
        <v>1431</v>
      </c>
      <c r="H1598" s="141" t="s">
        <v>2614</v>
      </c>
      <c r="I1598" s="141" t="str">
        <f t="shared" si="133"/>
        <v>999</v>
      </c>
      <c r="J1598" s="141" t="s">
        <v>4327</v>
      </c>
      <c r="K1598" s="141">
        <v>2199</v>
      </c>
      <c r="L1598" s="141">
        <v>17</v>
      </c>
      <c r="M1598" s="141">
        <v>0</v>
      </c>
      <c r="N1598" s="141">
        <v>93000</v>
      </c>
      <c r="O1598" s="141" t="s">
        <v>4357</v>
      </c>
      <c r="P1598" s="141" t="s">
        <v>4597</v>
      </c>
    </row>
    <row r="1599" spans="1:16" ht="25.5">
      <c r="A1599" s="141">
        <v>76807</v>
      </c>
      <c r="B1599" s="141" t="s">
        <v>4325</v>
      </c>
      <c r="C1599" s="142">
        <v>41201</v>
      </c>
      <c r="D1599" s="141">
        <v>711</v>
      </c>
      <c r="E1599" s="141" t="str">
        <f t="shared" si="132"/>
        <v>001</v>
      </c>
      <c r="F1599" s="141" t="s">
        <v>4326</v>
      </c>
      <c r="G1599" s="141" t="str">
        <f t="shared" si="136"/>
        <v>1431</v>
      </c>
      <c r="H1599" s="141" t="s">
        <v>2614</v>
      </c>
      <c r="I1599" s="141" t="str">
        <f t="shared" si="133"/>
        <v>999</v>
      </c>
      <c r="J1599" s="141" t="s">
        <v>4327</v>
      </c>
      <c r="K1599" s="141">
        <v>2200</v>
      </c>
      <c r="L1599" s="141">
        <v>4</v>
      </c>
      <c r="M1599" s="141">
        <v>0</v>
      </c>
      <c r="N1599" s="141">
        <v>48000</v>
      </c>
      <c r="O1599" s="141" t="s">
        <v>4357</v>
      </c>
      <c r="P1599" s="141" t="s">
        <v>4394</v>
      </c>
    </row>
    <row r="1600" spans="1:16" ht="25.5">
      <c r="A1600" s="141">
        <v>76807</v>
      </c>
      <c r="B1600" s="141" t="s">
        <v>4325</v>
      </c>
      <c r="C1600" s="142">
        <v>41201</v>
      </c>
      <c r="D1600" s="141">
        <v>711</v>
      </c>
      <c r="E1600" s="141" t="str">
        <f t="shared" si="132"/>
        <v>001</v>
      </c>
      <c r="F1600" s="141" t="s">
        <v>4326</v>
      </c>
      <c r="G1600" s="141" t="str">
        <f t="shared" si="136"/>
        <v>1431</v>
      </c>
      <c r="H1600" s="141" t="s">
        <v>2614</v>
      </c>
      <c r="I1600" s="141" t="str">
        <f t="shared" si="133"/>
        <v>999</v>
      </c>
      <c r="J1600" s="141" t="s">
        <v>4327</v>
      </c>
      <c r="K1600" s="141">
        <v>2201</v>
      </c>
      <c r="L1600" s="141">
        <v>2</v>
      </c>
      <c r="M1600" s="141">
        <v>0</v>
      </c>
      <c r="N1600" s="141">
        <v>24000</v>
      </c>
      <c r="O1600" s="141" t="s">
        <v>4357</v>
      </c>
      <c r="P1600" s="141" t="s">
        <v>4394</v>
      </c>
    </row>
    <row r="1601" spans="1:16" ht="25.5">
      <c r="A1601" s="141">
        <v>76807</v>
      </c>
      <c r="B1601" s="141" t="s">
        <v>4325</v>
      </c>
      <c r="C1601" s="142">
        <v>41201</v>
      </c>
      <c r="D1601" s="141">
        <v>711</v>
      </c>
      <c r="E1601" s="141" t="str">
        <f t="shared" si="132"/>
        <v>001</v>
      </c>
      <c r="F1601" s="141" t="s">
        <v>4326</v>
      </c>
      <c r="G1601" s="141" t="str">
        <f t="shared" si="136"/>
        <v>1431</v>
      </c>
      <c r="H1601" s="141" t="s">
        <v>2614</v>
      </c>
      <c r="I1601" s="141" t="str">
        <f t="shared" si="133"/>
        <v>999</v>
      </c>
      <c r="J1601" s="141" t="s">
        <v>4327</v>
      </c>
      <c r="K1601" s="141">
        <v>2202</v>
      </c>
      <c r="L1601" s="141">
        <v>1</v>
      </c>
      <c r="M1601" s="141">
        <v>0</v>
      </c>
      <c r="N1601" s="141">
        <v>12000</v>
      </c>
      <c r="O1601" s="141" t="s">
        <v>4357</v>
      </c>
      <c r="P1601" s="141" t="s">
        <v>4394</v>
      </c>
    </row>
    <row r="1602" spans="1:16" ht="25.5">
      <c r="A1602" s="141">
        <v>76807</v>
      </c>
      <c r="B1602" s="141" t="s">
        <v>4325</v>
      </c>
      <c r="C1602" s="142">
        <v>41201</v>
      </c>
      <c r="D1602" s="141">
        <v>711</v>
      </c>
      <c r="E1602" s="141" t="str">
        <f t="shared" ref="E1602:E1665" si="137">"001"</f>
        <v>001</v>
      </c>
      <c r="F1602" s="141" t="s">
        <v>4326</v>
      </c>
      <c r="G1602" s="141" t="str">
        <f t="shared" si="136"/>
        <v>1431</v>
      </c>
      <c r="H1602" s="141" t="s">
        <v>2614</v>
      </c>
      <c r="I1602" s="141" t="str">
        <f t="shared" ref="I1602:I1665" si="138">"999"</f>
        <v>999</v>
      </c>
      <c r="J1602" s="141" t="s">
        <v>4327</v>
      </c>
      <c r="K1602" s="141">
        <v>2203</v>
      </c>
      <c r="L1602" s="141">
        <v>4</v>
      </c>
      <c r="M1602" s="141">
        <v>0</v>
      </c>
      <c r="N1602" s="141">
        <v>48000</v>
      </c>
      <c r="O1602" s="141" t="s">
        <v>4357</v>
      </c>
      <c r="P1602" s="141" t="s">
        <v>4394</v>
      </c>
    </row>
    <row r="1603" spans="1:16" ht="25.5">
      <c r="A1603" s="141">
        <v>76807</v>
      </c>
      <c r="B1603" s="141" t="s">
        <v>4325</v>
      </c>
      <c r="C1603" s="142">
        <v>41201</v>
      </c>
      <c r="D1603" s="141">
        <v>711</v>
      </c>
      <c r="E1603" s="141" t="str">
        <f t="shared" si="137"/>
        <v>001</v>
      </c>
      <c r="F1603" s="141" t="s">
        <v>4326</v>
      </c>
      <c r="G1603" s="141" t="str">
        <f t="shared" si="136"/>
        <v>1431</v>
      </c>
      <c r="H1603" s="141" t="s">
        <v>2614</v>
      </c>
      <c r="I1603" s="141" t="str">
        <f t="shared" si="138"/>
        <v>999</v>
      </c>
      <c r="J1603" s="141" t="s">
        <v>4327</v>
      </c>
      <c r="K1603" s="141">
        <v>2204</v>
      </c>
      <c r="L1603" s="141">
        <v>2</v>
      </c>
      <c r="M1603" s="141">
        <v>0</v>
      </c>
      <c r="N1603" s="141">
        <v>24000</v>
      </c>
      <c r="O1603" s="141" t="s">
        <v>4357</v>
      </c>
      <c r="P1603" s="141" t="s">
        <v>4394</v>
      </c>
    </row>
    <row r="1604" spans="1:16" ht="25.5">
      <c r="A1604" s="141">
        <v>76807</v>
      </c>
      <c r="B1604" s="141" t="s">
        <v>4325</v>
      </c>
      <c r="C1604" s="142">
        <v>41201</v>
      </c>
      <c r="D1604" s="141">
        <v>711</v>
      </c>
      <c r="E1604" s="141" t="str">
        <f t="shared" si="137"/>
        <v>001</v>
      </c>
      <c r="F1604" s="141" t="s">
        <v>4326</v>
      </c>
      <c r="G1604" s="141" t="str">
        <f t="shared" si="136"/>
        <v>1431</v>
      </c>
      <c r="H1604" s="141" t="s">
        <v>2614</v>
      </c>
      <c r="I1604" s="141" t="str">
        <f t="shared" si="138"/>
        <v>999</v>
      </c>
      <c r="J1604" s="141" t="s">
        <v>4327</v>
      </c>
      <c r="K1604" s="141">
        <v>2205</v>
      </c>
      <c r="L1604" s="141">
        <v>1</v>
      </c>
      <c r="M1604" s="141">
        <v>0</v>
      </c>
      <c r="N1604" s="141">
        <v>12000</v>
      </c>
      <c r="O1604" s="141" t="s">
        <v>4357</v>
      </c>
      <c r="P1604" s="141" t="s">
        <v>4394</v>
      </c>
    </row>
    <row r="1605" spans="1:16" ht="25.5">
      <c r="A1605" s="141">
        <v>76807</v>
      </c>
      <c r="B1605" s="141" t="s">
        <v>4325</v>
      </c>
      <c r="C1605" s="142">
        <v>41201</v>
      </c>
      <c r="D1605" s="141">
        <v>711</v>
      </c>
      <c r="E1605" s="141" t="str">
        <f t="shared" si="137"/>
        <v>001</v>
      </c>
      <c r="F1605" s="141" t="s">
        <v>4326</v>
      </c>
      <c r="G1605" s="141" t="str">
        <f t="shared" si="136"/>
        <v>1431</v>
      </c>
      <c r="H1605" s="141" t="s">
        <v>2614</v>
      </c>
      <c r="I1605" s="141" t="str">
        <f t="shared" si="138"/>
        <v>999</v>
      </c>
      <c r="J1605" s="141" t="s">
        <v>4327</v>
      </c>
      <c r="K1605" s="141">
        <v>2206</v>
      </c>
      <c r="L1605" s="141">
        <v>8</v>
      </c>
      <c r="M1605" s="141">
        <v>0</v>
      </c>
      <c r="N1605" s="141">
        <v>63000</v>
      </c>
      <c r="O1605" s="141" t="s">
        <v>4357</v>
      </c>
      <c r="P1605" s="141" t="s">
        <v>4783</v>
      </c>
    </row>
    <row r="1606" spans="1:16" ht="25.5">
      <c r="A1606" s="141">
        <v>76807</v>
      </c>
      <c r="B1606" s="141" t="s">
        <v>4325</v>
      </c>
      <c r="C1606" s="142">
        <v>41201</v>
      </c>
      <c r="D1606" s="141">
        <v>711</v>
      </c>
      <c r="E1606" s="141" t="str">
        <f t="shared" si="137"/>
        <v>001</v>
      </c>
      <c r="F1606" s="141" t="s">
        <v>4326</v>
      </c>
      <c r="G1606" s="141" t="str">
        <f t="shared" si="136"/>
        <v>1431</v>
      </c>
      <c r="H1606" s="141" t="s">
        <v>2614</v>
      </c>
      <c r="I1606" s="141" t="str">
        <f t="shared" si="138"/>
        <v>999</v>
      </c>
      <c r="J1606" s="141" t="s">
        <v>4327</v>
      </c>
      <c r="K1606" s="141">
        <v>2207</v>
      </c>
      <c r="L1606" s="141">
        <v>1</v>
      </c>
      <c r="M1606" s="141">
        <v>0</v>
      </c>
      <c r="N1606" s="141">
        <v>12000</v>
      </c>
      <c r="O1606" s="141" t="s">
        <v>4357</v>
      </c>
      <c r="P1606" s="141" t="s">
        <v>4394</v>
      </c>
    </row>
    <row r="1607" spans="1:16" ht="25.5">
      <c r="A1607" s="141">
        <v>76807</v>
      </c>
      <c r="B1607" s="141" t="s">
        <v>4325</v>
      </c>
      <c r="C1607" s="142">
        <v>41201</v>
      </c>
      <c r="D1607" s="141">
        <v>711</v>
      </c>
      <c r="E1607" s="141" t="str">
        <f t="shared" si="137"/>
        <v>001</v>
      </c>
      <c r="F1607" s="141" t="s">
        <v>4326</v>
      </c>
      <c r="G1607" s="141" t="str">
        <f t="shared" si="136"/>
        <v>1431</v>
      </c>
      <c r="H1607" s="141" t="s">
        <v>2614</v>
      </c>
      <c r="I1607" s="141" t="str">
        <f t="shared" si="138"/>
        <v>999</v>
      </c>
      <c r="J1607" s="141" t="s">
        <v>4327</v>
      </c>
      <c r="K1607" s="141">
        <v>2208</v>
      </c>
      <c r="L1607" s="141">
        <v>1</v>
      </c>
      <c r="M1607" s="141">
        <v>0</v>
      </c>
      <c r="N1607" s="141">
        <v>12000</v>
      </c>
      <c r="O1607" s="141" t="s">
        <v>4357</v>
      </c>
      <c r="P1607" s="141" t="s">
        <v>4394</v>
      </c>
    </row>
    <row r="1608" spans="1:16" ht="25.5">
      <c r="A1608" s="141">
        <v>76807</v>
      </c>
      <c r="B1608" s="141" t="s">
        <v>4325</v>
      </c>
      <c r="C1608" s="142">
        <v>41201</v>
      </c>
      <c r="D1608" s="141">
        <v>711</v>
      </c>
      <c r="E1608" s="141" t="str">
        <f t="shared" si="137"/>
        <v>001</v>
      </c>
      <c r="F1608" s="141" t="s">
        <v>4326</v>
      </c>
      <c r="G1608" s="141" t="str">
        <f t="shared" si="136"/>
        <v>1431</v>
      </c>
      <c r="H1608" s="141" t="s">
        <v>2614</v>
      </c>
      <c r="I1608" s="141" t="str">
        <f t="shared" si="138"/>
        <v>999</v>
      </c>
      <c r="J1608" s="141" t="s">
        <v>4327</v>
      </c>
      <c r="K1608" s="141">
        <v>2209</v>
      </c>
      <c r="L1608" s="141">
        <v>2</v>
      </c>
      <c r="M1608" s="141">
        <v>0</v>
      </c>
      <c r="N1608" s="141">
        <v>24000</v>
      </c>
      <c r="O1608" s="141" t="s">
        <v>4357</v>
      </c>
      <c r="P1608" s="141" t="s">
        <v>4394</v>
      </c>
    </row>
    <row r="1609" spans="1:16" ht="25.5">
      <c r="A1609" s="141">
        <v>76807</v>
      </c>
      <c r="B1609" s="141" t="s">
        <v>4325</v>
      </c>
      <c r="C1609" s="142">
        <v>41201</v>
      </c>
      <c r="D1609" s="141">
        <v>711</v>
      </c>
      <c r="E1609" s="141" t="str">
        <f t="shared" si="137"/>
        <v>001</v>
      </c>
      <c r="F1609" s="141" t="s">
        <v>4326</v>
      </c>
      <c r="G1609" s="141" t="str">
        <f t="shared" si="136"/>
        <v>1431</v>
      </c>
      <c r="H1609" s="141" t="s">
        <v>2614</v>
      </c>
      <c r="I1609" s="141" t="str">
        <f t="shared" si="138"/>
        <v>999</v>
      </c>
      <c r="J1609" s="141" t="s">
        <v>4327</v>
      </c>
      <c r="K1609" s="141">
        <v>2210</v>
      </c>
      <c r="L1609" s="141">
        <v>1</v>
      </c>
      <c r="M1609" s="141">
        <v>0</v>
      </c>
      <c r="N1609" s="141">
        <v>0</v>
      </c>
      <c r="O1609" s="141" t="s">
        <v>4330</v>
      </c>
      <c r="P1609" s="141" t="s">
        <v>4441</v>
      </c>
    </row>
    <row r="1610" spans="1:16" ht="25.5">
      <c r="A1610" s="141">
        <v>76807</v>
      </c>
      <c r="B1610" s="141" t="s">
        <v>4325</v>
      </c>
      <c r="C1610" s="142">
        <v>41201</v>
      </c>
      <c r="D1610" s="141">
        <v>711</v>
      </c>
      <c r="E1610" s="141" t="str">
        <f t="shared" si="137"/>
        <v>001</v>
      </c>
      <c r="F1610" s="141" t="s">
        <v>4326</v>
      </c>
      <c r="G1610" s="141" t="str">
        <f t="shared" si="136"/>
        <v>1431</v>
      </c>
      <c r="H1610" s="141" t="s">
        <v>2614</v>
      </c>
      <c r="I1610" s="141" t="str">
        <f t="shared" si="138"/>
        <v>999</v>
      </c>
      <c r="J1610" s="141" t="s">
        <v>4327</v>
      </c>
      <c r="K1610" s="141">
        <v>2211</v>
      </c>
      <c r="L1610" s="141">
        <v>1</v>
      </c>
      <c r="M1610" s="141">
        <v>0</v>
      </c>
      <c r="N1610" s="141">
        <v>12000</v>
      </c>
      <c r="O1610" s="141" t="s">
        <v>4397</v>
      </c>
      <c r="P1610" s="141" t="s">
        <v>4533</v>
      </c>
    </row>
    <row r="1611" spans="1:16" ht="25.5">
      <c r="A1611" s="141">
        <v>76807</v>
      </c>
      <c r="B1611" s="141" t="s">
        <v>4325</v>
      </c>
      <c r="C1611" s="142">
        <v>41201</v>
      </c>
      <c r="D1611" s="141">
        <v>711</v>
      </c>
      <c r="E1611" s="141" t="str">
        <f t="shared" si="137"/>
        <v>001</v>
      </c>
      <c r="F1611" s="141" t="s">
        <v>4326</v>
      </c>
      <c r="G1611" s="141" t="str">
        <f t="shared" si="136"/>
        <v>1431</v>
      </c>
      <c r="H1611" s="141" t="s">
        <v>2614</v>
      </c>
      <c r="I1611" s="141" t="str">
        <f t="shared" si="138"/>
        <v>999</v>
      </c>
      <c r="J1611" s="141" t="s">
        <v>4327</v>
      </c>
      <c r="K1611" s="141">
        <v>2212</v>
      </c>
      <c r="L1611" s="141">
        <v>1</v>
      </c>
      <c r="M1611" s="141">
        <v>0</v>
      </c>
      <c r="N1611" s="141">
        <v>19000</v>
      </c>
      <c r="O1611" s="141" t="s">
        <v>4397</v>
      </c>
      <c r="P1611" s="141" t="s">
        <v>4383</v>
      </c>
    </row>
    <row r="1612" spans="1:16" ht="25.5">
      <c r="A1612" s="141">
        <v>76807</v>
      </c>
      <c r="B1612" s="141" t="s">
        <v>4325</v>
      </c>
      <c r="C1612" s="142">
        <v>41201</v>
      </c>
      <c r="D1612" s="141">
        <v>711</v>
      </c>
      <c r="E1612" s="141" t="str">
        <f t="shared" si="137"/>
        <v>001</v>
      </c>
      <c r="F1612" s="141" t="s">
        <v>4326</v>
      </c>
      <c r="G1612" s="141" t="str">
        <f t="shared" si="136"/>
        <v>1431</v>
      </c>
      <c r="H1612" s="141" t="s">
        <v>2614</v>
      </c>
      <c r="I1612" s="141" t="str">
        <f t="shared" si="138"/>
        <v>999</v>
      </c>
      <c r="J1612" s="141" t="s">
        <v>4327</v>
      </c>
      <c r="K1612" s="141">
        <v>2213</v>
      </c>
      <c r="L1612" s="141">
        <v>4</v>
      </c>
      <c r="M1612" s="141">
        <v>0</v>
      </c>
      <c r="N1612" s="141">
        <v>28000</v>
      </c>
      <c r="O1612" s="141" t="s">
        <v>4455</v>
      </c>
      <c r="P1612" s="141"/>
    </row>
    <row r="1613" spans="1:16" ht="25.5">
      <c r="A1613" s="141">
        <v>76807</v>
      </c>
      <c r="B1613" s="141" t="s">
        <v>4325</v>
      </c>
      <c r="C1613" s="142">
        <v>41201</v>
      </c>
      <c r="D1613" s="141">
        <v>711</v>
      </c>
      <c r="E1613" s="141" t="str">
        <f t="shared" si="137"/>
        <v>001</v>
      </c>
      <c r="F1613" s="141" t="s">
        <v>4326</v>
      </c>
      <c r="G1613" s="141" t="str">
        <f t="shared" si="136"/>
        <v>1431</v>
      </c>
      <c r="H1613" s="141" t="s">
        <v>2614</v>
      </c>
      <c r="I1613" s="141" t="str">
        <f t="shared" si="138"/>
        <v>999</v>
      </c>
      <c r="J1613" s="141" t="s">
        <v>4327</v>
      </c>
      <c r="K1613" s="141">
        <v>2214</v>
      </c>
      <c r="L1613" s="141">
        <v>1</v>
      </c>
      <c r="M1613" s="141">
        <v>0</v>
      </c>
      <c r="N1613" s="141">
        <v>113000</v>
      </c>
      <c r="O1613" s="141" t="s">
        <v>4368</v>
      </c>
      <c r="P1613" s="141"/>
    </row>
    <row r="1614" spans="1:16" ht="25.5">
      <c r="A1614" s="141">
        <v>76807</v>
      </c>
      <c r="B1614" s="141" t="s">
        <v>4325</v>
      </c>
      <c r="C1614" s="142">
        <v>41201</v>
      </c>
      <c r="D1614" s="141">
        <v>711</v>
      </c>
      <c r="E1614" s="141" t="str">
        <f t="shared" si="137"/>
        <v>001</v>
      </c>
      <c r="F1614" s="141" t="s">
        <v>4326</v>
      </c>
      <c r="G1614" s="141" t="str">
        <f t="shared" si="136"/>
        <v>1431</v>
      </c>
      <c r="H1614" s="141" t="s">
        <v>2614</v>
      </c>
      <c r="I1614" s="141" t="str">
        <f t="shared" si="138"/>
        <v>999</v>
      </c>
      <c r="J1614" s="141" t="s">
        <v>4327</v>
      </c>
      <c r="K1614" s="141">
        <v>2215</v>
      </c>
      <c r="L1614" s="141">
        <v>5</v>
      </c>
      <c r="M1614" s="141">
        <v>0</v>
      </c>
      <c r="N1614" s="141">
        <v>3000</v>
      </c>
      <c r="O1614" s="141" t="s">
        <v>4381</v>
      </c>
      <c r="P1614" s="141"/>
    </row>
    <row r="1615" spans="1:16" ht="25.5">
      <c r="A1615" s="141">
        <v>76807</v>
      </c>
      <c r="B1615" s="141" t="s">
        <v>4325</v>
      </c>
      <c r="C1615" s="142">
        <v>41201</v>
      </c>
      <c r="D1615" s="141">
        <v>711</v>
      </c>
      <c r="E1615" s="141" t="str">
        <f t="shared" si="137"/>
        <v>001</v>
      </c>
      <c r="F1615" s="141" t="s">
        <v>4326</v>
      </c>
      <c r="G1615" s="141" t="str">
        <f t="shared" si="136"/>
        <v>1431</v>
      </c>
      <c r="H1615" s="141" t="s">
        <v>2614</v>
      </c>
      <c r="I1615" s="141" t="str">
        <f t="shared" si="138"/>
        <v>999</v>
      </c>
      <c r="J1615" s="141" t="s">
        <v>4327</v>
      </c>
      <c r="K1615" s="141">
        <v>2216</v>
      </c>
      <c r="L1615" s="141">
        <v>8</v>
      </c>
      <c r="M1615" s="141">
        <v>0</v>
      </c>
      <c r="N1615" s="141">
        <v>4000</v>
      </c>
      <c r="O1615" s="141" t="s">
        <v>4350</v>
      </c>
      <c r="P1615" s="141"/>
    </row>
    <row r="1616" spans="1:16" ht="25.5">
      <c r="A1616" s="141">
        <v>76807</v>
      </c>
      <c r="B1616" s="141" t="s">
        <v>4325</v>
      </c>
      <c r="C1616" s="142">
        <v>41201</v>
      </c>
      <c r="D1616" s="141">
        <v>711</v>
      </c>
      <c r="E1616" s="141" t="str">
        <f t="shared" si="137"/>
        <v>001</v>
      </c>
      <c r="F1616" s="141" t="s">
        <v>4326</v>
      </c>
      <c r="G1616" s="141" t="str">
        <f t="shared" si="136"/>
        <v>1431</v>
      </c>
      <c r="H1616" s="141" t="s">
        <v>2614</v>
      </c>
      <c r="I1616" s="141" t="str">
        <f t="shared" si="138"/>
        <v>999</v>
      </c>
      <c r="J1616" s="141" t="s">
        <v>4327</v>
      </c>
      <c r="K1616" s="141">
        <v>2217</v>
      </c>
      <c r="L1616" s="141">
        <v>11</v>
      </c>
      <c r="M1616" s="141">
        <v>0</v>
      </c>
      <c r="N1616" s="141">
        <v>8000</v>
      </c>
      <c r="O1616" s="141" t="s">
        <v>4343</v>
      </c>
      <c r="P1616" s="141"/>
    </row>
    <row r="1617" spans="1:16" ht="25.5">
      <c r="A1617" s="141">
        <v>76807</v>
      </c>
      <c r="B1617" s="141" t="s">
        <v>4325</v>
      </c>
      <c r="C1617" s="142">
        <v>41201</v>
      </c>
      <c r="D1617" s="141">
        <v>711</v>
      </c>
      <c r="E1617" s="141" t="str">
        <f t="shared" si="137"/>
        <v>001</v>
      </c>
      <c r="F1617" s="141" t="s">
        <v>4326</v>
      </c>
      <c r="G1617" s="141" t="str">
        <f t="shared" si="136"/>
        <v>1431</v>
      </c>
      <c r="H1617" s="141" t="s">
        <v>2614</v>
      </c>
      <c r="I1617" s="141" t="str">
        <f t="shared" si="138"/>
        <v>999</v>
      </c>
      <c r="J1617" s="141" t="s">
        <v>4327</v>
      </c>
      <c r="K1617" s="141">
        <v>2218</v>
      </c>
      <c r="L1617" s="141">
        <v>1</v>
      </c>
      <c r="M1617" s="141">
        <v>0</v>
      </c>
      <c r="N1617" s="141">
        <v>1000</v>
      </c>
      <c r="O1617" s="141" t="s">
        <v>4344</v>
      </c>
      <c r="P1617" s="141"/>
    </row>
    <row r="1618" spans="1:16" ht="25.5">
      <c r="A1618" s="141">
        <v>76807</v>
      </c>
      <c r="B1618" s="141" t="s">
        <v>4325</v>
      </c>
      <c r="C1618" s="142">
        <v>41201</v>
      </c>
      <c r="D1618" s="141">
        <v>711</v>
      </c>
      <c r="E1618" s="141" t="str">
        <f t="shared" si="137"/>
        <v>001</v>
      </c>
      <c r="F1618" s="141" t="s">
        <v>4326</v>
      </c>
      <c r="G1618" s="141" t="str">
        <f t="shared" si="136"/>
        <v>1431</v>
      </c>
      <c r="H1618" s="141" t="s">
        <v>2614</v>
      </c>
      <c r="I1618" s="141" t="str">
        <f t="shared" si="138"/>
        <v>999</v>
      </c>
      <c r="J1618" s="141" t="s">
        <v>4327</v>
      </c>
      <c r="K1618" s="141">
        <v>2219</v>
      </c>
      <c r="L1618" s="141">
        <v>1</v>
      </c>
      <c r="M1618" s="141">
        <v>0</v>
      </c>
      <c r="N1618" s="141">
        <v>1000</v>
      </c>
      <c r="O1618" s="141" t="s">
        <v>4344</v>
      </c>
      <c r="P1618" s="141"/>
    </row>
    <row r="1619" spans="1:16" ht="25.5">
      <c r="A1619" s="141">
        <v>76807</v>
      </c>
      <c r="B1619" s="141" t="s">
        <v>4325</v>
      </c>
      <c r="C1619" s="142">
        <v>41201</v>
      </c>
      <c r="D1619" s="141">
        <v>711</v>
      </c>
      <c r="E1619" s="141" t="str">
        <f t="shared" si="137"/>
        <v>001</v>
      </c>
      <c r="F1619" s="141" t="s">
        <v>4326</v>
      </c>
      <c r="G1619" s="141" t="str">
        <f t="shared" si="136"/>
        <v>1431</v>
      </c>
      <c r="H1619" s="141" t="s">
        <v>2614</v>
      </c>
      <c r="I1619" s="141" t="str">
        <f t="shared" si="138"/>
        <v>999</v>
      </c>
      <c r="J1619" s="141" t="s">
        <v>4327</v>
      </c>
      <c r="K1619" s="141">
        <v>2220</v>
      </c>
      <c r="L1619" s="141">
        <v>1</v>
      </c>
      <c r="M1619" s="141">
        <v>0</v>
      </c>
      <c r="N1619" s="141">
        <v>1000</v>
      </c>
      <c r="O1619" s="141" t="s">
        <v>4344</v>
      </c>
      <c r="P1619" s="141"/>
    </row>
    <row r="1620" spans="1:16" ht="25.5">
      <c r="A1620" s="141">
        <v>76807</v>
      </c>
      <c r="B1620" s="141" t="s">
        <v>4325</v>
      </c>
      <c r="C1620" s="142">
        <v>41201</v>
      </c>
      <c r="D1620" s="141">
        <v>711</v>
      </c>
      <c r="E1620" s="141" t="str">
        <f t="shared" si="137"/>
        <v>001</v>
      </c>
      <c r="F1620" s="141" t="s">
        <v>4326</v>
      </c>
      <c r="G1620" s="141" t="str">
        <f t="shared" si="136"/>
        <v>1431</v>
      </c>
      <c r="H1620" s="141" t="s">
        <v>2614</v>
      </c>
      <c r="I1620" s="141" t="str">
        <f t="shared" si="138"/>
        <v>999</v>
      </c>
      <c r="J1620" s="141" t="s">
        <v>4327</v>
      </c>
      <c r="K1620" s="141">
        <v>2221</v>
      </c>
      <c r="L1620" s="141">
        <v>1</v>
      </c>
      <c r="M1620" s="141">
        <v>0</v>
      </c>
      <c r="N1620" s="141">
        <v>2000</v>
      </c>
      <c r="O1620" s="141" t="s">
        <v>4369</v>
      </c>
      <c r="P1620" s="141" t="s">
        <v>4784</v>
      </c>
    </row>
    <row r="1621" spans="1:16" ht="25.5">
      <c r="A1621" s="141">
        <v>76807</v>
      </c>
      <c r="B1621" s="141" t="s">
        <v>4325</v>
      </c>
      <c r="C1621" s="142">
        <v>41201</v>
      </c>
      <c r="D1621" s="141">
        <v>711</v>
      </c>
      <c r="E1621" s="141" t="str">
        <f t="shared" si="137"/>
        <v>001</v>
      </c>
      <c r="F1621" s="141" t="s">
        <v>4326</v>
      </c>
      <c r="G1621" s="141" t="str">
        <f t="shared" si="136"/>
        <v>1431</v>
      </c>
      <c r="H1621" s="141" t="s">
        <v>2614</v>
      </c>
      <c r="I1621" s="141" t="str">
        <f t="shared" si="138"/>
        <v>999</v>
      </c>
      <c r="J1621" s="141" t="s">
        <v>4327</v>
      </c>
      <c r="K1621" s="141">
        <v>2222</v>
      </c>
      <c r="L1621" s="141">
        <v>4</v>
      </c>
      <c r="M1621" s="141">
        <v>0</v>
      </c>
      <c r="N1621" s="141">
        <v>10000</v>
      </c>
      <c r="O1621" s="141" t="s">
        <v>4347</v>
      </c>
      <c r="P1621" s="141"/>
    </row>
    <row r="1622" spans="1:16" ht="25.5">
      <c r="A1622" s="141">
        <v>76807</v>
      </c>
      <c r="B1622" s="141" t="s">
        <v>4325</v>
      </c>
      <c r="C1622" s="142">
        <v>41201</v>
      </c>
      <c r="D1622" s="141">
        <v>711</v>
      </c>
      <c r="E1622" s="141" t="str">
        <f t="shared" si="137"/>
        <v>001</v>
      </c>
      <c r="F1622" s="141" t="s">
        <v>4326</v>
      </c>
      <c r="G1622" s="141" t="str">
        <f t="shared" si="136"/>
        <v>1431</v>
      </c>
      <c r="H1622" s="141" t="s">
        <v>2614</v>
      </c>
      <c r="I1622" s="141" t="str">
        <f t="shared" si="138"/>
        <v>999</v>
      </c>
      <c r="J1622" s="141" t="s">
        <v>4327</v>
      </c>
      <c r="K1622" s="141">
        <v>2223</v>
      </c>
      <c r="L1622" s="141">
        <v>2</v>
      </c>
      <c r="M1622" s="141">
        <v>0</v>
      </c>
      <c r="N1622" s="141">
        <v>9000</v>
      </c>
      <c r="O1622" s="141" t="s">
        <v>4406</v>
      </c>
      <c r="P1622" s="141"/>
    </row>
    <row r="1623" spans="1:16" ht="25.5">
      <c r="A1623" s="141">
        <v>76807</v>
      </c>
      <c r="B1623" s="141" t="s">
        <v>4325</v>
      </c>
      <c r="C1623" s="142">
        <v>41201</v>
      </c>
      <c r="D1623" s="141">
        <v>711</v>
      </c>
      <c r="E1623" s="141" t="str">
        <f t="shared" si="137"/>
        <v>001</v>
      </c>
      <c r="F1623" s="141" t="s">
        <v>4326</v>
      </c>
      <c r="G1623" s="141" t="str">
        <f t="shared" si="136"/>
        <v>1431</v>
      </c>
      <c r="H1623" s="141" t="s">
        <v>2614</v>
      </c>
      <c r="I1623" s="141" t="str">
        <f t="shared" si="138"/>
        <v>999</v>
      </c>
      <c r="J1623" s="141" t="s">
        <v>4327</v>
      </c>
      <c r="K1623" s="141">
        <v>2224</v>
      </c>
      <c r="L1623" s="141">
        <v>2</v>
      </c>
      <c r="M1623" s="141">
        <v>0</v>
      </c>
      <c r="N1623" s="141">
        <v>13000</v>
      </c>
      <c r="O1623" s="141" t="s">
        <v>4407</v>
      </c>
      <c r="P1623" s="141"/>
    </row>
    <row r="1624" spans="1:16" ht="25.5">
      <c r="A1624" s="141">
        <v>76807</v>
      </c>
      <c r="B1624" s="141" t="s">
        <v>4325</v>
      </c>
      <c r="C1624" s="142">
        <v>41201</v>
      </c>
      <c r="D1624" s="141">
        <v>711</v>
      </c>
      <c r="E1624" s="141" t="str">
        <f t="shared" si="137"/>
        <v>001</v>
      </c>
      <c r="F1624" s="141" t="s">
        <v>4326</v>
      </c>
      <c r="G1624" s="141" t="str">
        <f t="shared" si="136"/>
        <v>1431</v>
      </c>
      <c r="H1624" s="141" t="s">
        <v>2614</v>
      </c>
      <c r="I1624" s="141" t="str">
        <f t="shared" si="138"/>
        <v>999</v>
      </c>
      <c r="J1624" s="141" t="s">
        <v>4327</v>
      </c>
      <c r="K1624" s="141">
        <v>2225</v>
      </c>
      <c r="L1624" s="141">
        <v>5</v>
      </c>
      <c r="M1624" s="141">
        <v>0</v>
      </c>
      <c r="N1624" s="141">
        <v>44000</v>
      </c>
      <c r="O1624" s="141" t="s">
        <v>4580</v>
      </c>
      <c r="P1624" s="141"/>
    </row>
    <row r="1625" spans="1:16" ht="25.5">
      <c r="A1625" s="141">
        <v>76807</v>
      </c>
      <c r="B1625" s="141" t="s">
        <v>4325</v>
      </c>
      <c r="C1625" s="142">
        <v>41201</v>
      </c>
      <c r="D1625" s="141">
        <v>711</v>
      </c>
      <c r="E1625" s="141" t="str">
        <f t="shared" si="137"/>
        <v>001</v>
      </c>
      <c r="F1625" s="141" t="s">
        <v>4326</v>
      </c>
      <c r="G1625" s="141" t="str">
        <f t="shared" si="136"/>
        <v>1431</v>
      </c>
      <c r="H1625" s="141" t="s">
        <v>2614</v>
      </c>
      <c r="I1625" s="141" t="str">
        <f t="shared" si="138"/>
        <v>999</v>
      </c>
      <c r="J1625" s="141" t="s">
        <v>4327</v>
      </c>
      <c r="K1625" s="141">
        <v>2226</v>
      </c>
      <c r="L1625" s="141">
        <v>19</v>
      </c>
      <c r="M1625" s="141">
        <v>0</v>
      </c>
      <c r="N1625" s="141">
        <v>34000</v>
      </c>
      <c r="O1625" s="141" t="s">
        <v>4685</v>
      </c>
      <c r="P1625" s="141"/>
    </row>
    <row r="1626" spans="1:16" ht="25.5">
      <c r="A1626" s="141">
        <v>76807</v>
      </c>
      <c r="B1626" s="141" t="s">
        <v>4325</v>
      </c>
      <c r="C1626" s="142">
        <v>41201</v>
      </c>
      <c r="D1626" s="141">
        <v>428</v>
      </c>
      <c r="E1626" s="141" t="str">
        <f t="shared" si="137"/>
        <v>001</v>
      </c>
      <c r="F1626" s="141" t="s">
        <v>4326</v>
      </c>
      <c r="G1626" s="141" t="str">
        <f>"1433"</f>
        <v>1433</v>
      </c>
      <c r="H1626" s="141" t="s">
        <v>2740</v>
      </c>
      <c r="I1626" s="141" t="str">
        <f t="shared" si="138"/>
        <v>999</v>
      </c>
      <c r="J1626" s="141" t="s">
        <v>4327</v>
      </c>
      <c r="K1626" s="141">
        <v>1231</v>
      </c>
      <c r="L1626" s="141">
        <v>1</v>
      </c>
      <c r="M1626" s="141">
        <v>0</v>
      </c>
      <c r="N1626" s="141">
        <v>28000</v>
      </c>
      <c r="O1626" s="141" t="s">
        <v>4463</v>
      </c>
      <c r="P1626" s="141" t="s">
        <v>4430</v>
      </c>
    </row>
    <row r="1627" spans="1:16" ht="25.5">
      <c r="A1627" s="141">
        <v>76807</v>
      </c>
      <c r="B1627" s="141" t="s">
        <v>4325</v>
      </c>
      <c r="C1627" s="142">
        <v>41201</v>
      </c>
      <c r="D1627" s="141">
        <v>395</v>
      </c>
      <c r="E1627" s="141" t="str">
        <f t="shared" si="137"/>
        <v>001</v>
      </c>
      <c r="F1627" s="141" t="s">
        <v>4326</v>
      </c>
      <c r="G1627" s="141" t="str">
        <f>"1437"</f>
        <v>1437</v>
      </c>
      <c r="H1627" s="141" t="s">
        <v>1652</v>
      </c>
      <c r="I1627" s="141" t="str">
        <f t="shared" si="138"/>
        <v>999</v>
      </c>
      <c r="J1627" s="141" t="s">
        <v>4327</v>
      </c>
      <c r="K1627" s="141">
        <v>1045</v>
      </c>
      <c r="L1627" s="141">
        <v>1</v>
      </c>
      <c r="M1627" s="141">
        <v>0</v>
      </c>
      <c r="N1627" s="141">
        <v>5000</v>
      </c>
      <c r="O1627" s="141" t="s">
        <v>4351</v>
      </c>
      <c r="P1627" s="141" t="s">
        <v>4709</v>
      </c>
    </row>
    <row r="1628" spans="1:16" ht="25.5">
      <c r="A1628" s="141">
        <v>76807</v>
      </c>
      <c r="B1628" s="141" t="s">
        <v>4325</v>
      </c>
      <c r="C1628" s="142">
        <v>41201</v>
      </c>
      <c r="D1628" s="141">
        <v>395</v>
      </c>
      <c r="E1628" s="141" t="str">
        <f t="shared" si="137"/>
        <v>001</v>
      </c>
      <c r="F1628" s="141" t="s">
        <v>4326</v>
      </c>
      <c r="G1628" s="141" t="str">
        <f>"1437"</f>
        <v>1437</v>
      </c>
      <c r="H1628" s="141" t="s">
        <v>1652</v>
      </c>
      <c r="I1628" s="141" t="str">
        <f t="shared" si="138"/>
        <v>999</v>
      </c>
      <c r="J1628" s="141" t="s">
        <v>4327</v>
      </c>
      <c r="K1628" s="141">
        <v>1046</v>
      </c>
      <c r="L1628" s="141">
        <v>10</v>
      </c>
      <c r="M1628" s="141">
        <v>0</v>
      </c>
      <c r="N1628" s="141">
        <v>6000</v>
      </c>
      <c r="O1628" s="141" t="s">
        <v>4350</v>
      </c>
      <c r="P1628" s="141"/>
    </row>
    <row r="1629" spans="1:16" ht="25.5">
      <c r="A1629" s="141">
        <v>76807</v>
      </c>
      <c r="B1629" s="141" t="s">
        <v>4325</v>
      </c>
      <c r="C1629" s="142">
        <v>41201</v>
      </c>
      <c r="D1629" s="141">
        <v>395</v>
      </c>
      <c r="E1629" s="141" t="str">
        <f t="shared" si="137"/>
        <v>001</v>
      </c>
      <c r="F1629" s="141" t="s">
        <v>4326</v>
      </c>
      <c r="G1629" s="141" t="str">
        <f>"1437"</f>
        <v>1437</v>
      </c>
      <c r="H1629" s="141" t="s">
        <v>1652</v>
      </c>
      <c r="I1629" s="141" t="str">
        <f t="shared" si="138"/>
        <v>999</v>
      </c>
      <c r="J1629" s="141" t="s">
        <v>4327</v>
      </c>
      <c r="K1629" s="141">
        <v>1047</v>
      </c>
      <c r="L1629" s="141">
        <v>1</v>
      </c>
      <c r="M1629" s="141">
        <v>0</v>
      </c>
      <c r="N1629" s="141">
        <v>1000</v>
      </c>
      <c r="O1629" s="141" t="s">
        <v>4381</v>
      </c>
      <c r="P1629" s="141"/>
    </row>
    <row r="1630" spans="1:16" ht="25.5">
      <c r="A1630" s="141">
        <v>76807</v>
      </c>
      <c r="B1630" s="141" t="s">
        <v>4325</v>
      </c>
      <c r="C1630" s="142">
        <v>41201</v>
      </c>
      <c r="D1630" s="141">
        <v>395</v>
      </c>
      <c r="E1630" s="141" t="str">
        <f t="shared" si="137"/>
        <v>001</v>
      </c>
      <c r="F1630" s="141" t="s">
        <v>4326</v>
      </c>
      <c r="G1630" s="141" t="str">
        <f>"1437"</f>
        <v>1437</v>
      </c>
      <c r="H1630" s="141" t="s">
        <v>1652</v>
      </c>
      <c r="I1630" s="141" t="str">
        <f t="shared" si="138"/>
        <v>999</v>
      </c>
      <c r="J1630" s="141" t="s">
        <v>4327</v>
      </c>
      <c r="K1630" s="141">
        <v>1048</v>
      </c>
      <c r="L1630" s="141">
        <v>8</v>
      </c>
      <c r="M1630" s="141">
        <v>0</v>
      </c>
      <c r="N1630" s="141">
        <v>20000</v>
      </c>
      <c r="O1630" s="141" t="s">
        <v>4334</v>
      </c>
      <c r="P1630" s="141" t="s">
        <v>4340</v>
      </c>
    </row>
    <row r="1631" spans="1:16" ht="25.5">
      <c r="A1631" s="141">
        <v>76807</v>
      </c>
      <c r="B1631" s="141" t="s">
        <v>4325</v>
      </c>
      <c r="C1631" s="142">
        <v>41201</v>
      </c>
      <c r="D1631" s="141">
        <v>395</v>
      </c>
      <c r="E1631" s="141" t="str">
        <f t="shared" si="137"/>
        <v>001</v>
      </c>
      <c r="F1631" s="141" t="s">
        <v>4326</v>
      </c>
      <c r="G1631" s="141" t="str">
        <f>"1437"</f>
        <v>1437</v>
      </c>
      <c r="H1631" s="141" t="s">
        <v>1652</v>
      </c>
      <c r="I1631" s="141" t="str">
        <f t="shared" si="138"/>
        <v>999</v>
      </c>
      <c r="J1631" s="141" t="s">
        <v>4327</v>
      </c>
      <c r="K1631" s="141">
        <v>1049</v>
      </c>
      <c r="L1631" s="141">
        <v>1</v>
      </c>
      <c r="M1631" s="141">
        <v>0</v>
      </c>
      <c r="N1631" s="141">
        <v>4000</v>
      </c>
      <c r="O1631" s="141" t="s">
        <v>4330</v>
      </c>
      <c r="P1631" s="141" t="s">
        <v>4785</v>
      </c>
    </row>
    <row r="1632" spans="1:16" ht="25.5">
      <c r="A1632" s="141">
        <v>76807</v>
      </c>
      <c r="B1632" s="141" t="s">
        <v>4325</v>
      </c>
      <c r="C1632" s="142">
        <v>41201</v>
      </c>
      <c r="D1632" s="141">
        <v>720</v>
      </c>
      <c r="E1632" s="141" t="str">
        <f t="shared" si="137"/>
        <v>001</v>
      </c>
      <c r="F1632" s="141" t="s">
        <v>4326</v>
      </c>
      <c r="G1632" s="141" t="str">
        <f t="shared" ref="G1632:G1642" si="139">"1440"</f>
        <v>1440</v>
      </c>
      <c r="H1632" s="141" t="s">
        <v>974</v>
      </c>
      <c r="I1632" s="141" t="str">
        <f t="shared" si="138"/>
        <v>999</v>
      </c>
      <c r="J1632" s="141" t="s">
        <v>4327</v>
      </c>
      <c r="K1632" s="141">
        <v>2161</v>
      </c>
      <c r="L1632" s="141">
        <v>1</v>
      </c>
      <c r="M1632" s="141">
        <v>0</v>
      </c>
      <c r="N1632" s="141">
        <v>0</v>
      </c>
      <c r="O1632" s="141" t="s">
        <v>4337</v>
      </c>
      <c r="P1632" s="141" t="s">
        <v>4786</v>
      </c>
    </row>
    <row r="1633" spans="1:16" ht="25.5">
      <c r="A1633" s="141">
        <v>76807</v>
      </c>
      <c r="B1633" s="141" t="s">
        <v>4325</v>
      </c>
      <c r="C1633" s="142">
        <v>41201</v>
      </c>
      <c r="D1633" s="141">
        <v>720</v>
      </c>
      <c r="E1633" s="141" t="str">
        <f t="shared" si="137"/>
        <v>001</v>
      </c>
      <c r="F1633" s="141" t="s">
        <v>4326</v>
      </c>
      <c r="G1633" s="141" t="str">
        <f t="shared" si="139"/>
        <v>1440</v>
      </c>
      <c r="H1633" s="141" t="s">
        <v>974</v>
      </c>
      <c r="I1633" s="141" t="str">
        <f t="shared" si="138"/>
        <v>999</v>
      </c>
      <c r="J1633" s="141" t="s">
        <v>4327</v>
      </c>
      <c r="K1633" s="141">
        <v>2162</v>
      </c>
      <c r="L1633" s="141">
        <v>1</v>
      </c>
      <c r="M1633" s="141">
        <v>0</v>
      </c>
      <c r="N1633" s="141">
        <v>2000</v>
      </c>
      <c r="O1633" s="141" t="s">
        <v>4351</v>
      </c>
      <c r="P1633" s="141" t="s">
        <v>4702</v>
      </c>
    </row>
    <row r="1634" spans="1:16" ht="25.5">
      <c r="A1634" s="141">
        <v>76807</v>
      </c>
      <c r="B1634" s="141" t="s">
        <v>4325</v>
      </c>
      <c r="C1634" s="142">
        <v>41201</v>
      </c>
      <c r="D1634" s="141">
        <v>720</v>
      </c>
      <c r="E1634" s="141" t="str">
        <f t="shared" si="137"/>
        <v>001</v>
      </c>
      <c r="F1634" s="141" t="s">
        <v>4326</v>
      </c>
      <c r="G1634" s="141" t="str">
        <f t="shared" si="139"/>
        <v>1440</v>
      </c>
      <c r="H1634" s="141" t="s">
        <v>974</v>
      </c>
      <c r="I1634" s="141" t="str">
        <f t="shared" si="138"/>
        <v>999</v>
      </c>
      <c r="J1634" s="141" t="s">
        <v>4327</v>
      </c>
      <c r="K1634" s="141">
        <v>2163</v>
      </c>
      <c r="L1634" s="141">
        <v>1</v>
      </c>
      <c r="M1634" s="141">
        <v>0</v>
      </c>
      <c r="N1634" s="141">
        <v>25000</v>
      </c>
      <c r="O1634" s="141" t="s">
        <v>4380</v>
      </c>
      <c r="P1634" s="141" t="s">
        <v>4425</v>
      </c>
    </row>
    <row r="1635" spans="1:16" ht="25.5">
      <c r="A1635" s="141">
        <v>76807</v>
      </c>
      <c r="B1635" s="141" t="s">
        <v>4325</v>
      </c>
      <c r="C1635" s="142">
        <v>41201</v>
      </c>
      <c r="D1635" s="141">
        <v>720</v>
      </c>
      <c r="E1635" s="141" t="str">
        <f t="shared" si="137"/>
        <v>001</v>
      </c>
      <c r="F1635" s="141" t="s">
        <v>4326</v>
      </c>
      <c r="G1635" s="141" t="str">
        <f t="shared" si="139"/>
        <v>1440</v>
      </c>
      <c r="H1635" s="141" t="s">
        <v>974</v>
      </c>
      <c r="I1635" s="141" t="str">
        <f t="shared" si="138"/>
        <v>999</v>
      </c>
      <c r="J1635" s="141" t="s">
        <v>4327</v>
      </c>
      <c r="K1635" s="141">
        <v>2164</v>
      </c>
      <c r="L1635" s="141">
        <v>1</v>
      </c>
      <c r="M1635" s="141">
        <v>0</v>
      </c>
      <c r="N1635" s="141">
        <v>190000</v>
      </c>
      <c r="O1635" s="141" t="s">
        <v>4368</v>
      </c>
      <c r="P1635" s="141"/>
    </row>
    <row r="1636" spans="1:16" ht="25.5">
      <c r="A1636" s="141">
        <v>76807</v>
      </c>
      <c r="B1636" s="141" t="s">
        <v>4325</v>
      </c>
      <c r="C1636" s="142">
        <v>41201</v>
      </c>
      <c r="D1636" s="141">
        <v>720</v>
      </c>
      <c r="E1636" s="141" t="str">
        <f t="shared" si="137"/>
        <v>001</v>
      </c>
      <c r="F1636" s="141" t="s">
        <v>4326</v>
      </c>
      <c r="G1636" s="141" t="str">
        <f t="shared" si="139"/>
        <v>1440</v>
      </c>
      <c r="H1636" s="141" t="s">
        <v>974</v>
      </c>
      <c r="I1636" s="141" t="str">
        <f t="shared" si="138"/>
        <v>999</v>
      </c>
      <c r="J1636" s="141" t="s">
        <v>4327</v>
      </c>
      <c r="K1636" s="141">
        <v>2165</v>
      </c>
      <c r="L1636" s="141">
        <v>1</v>
      </c>
      <c r="M1636" s="141">
        <v>0</v>
      </c>
      <c r="N1636" s="141">
        <v>11000</v>
      </c>
      <c r="O1636" s="141" t="s">
        <v>4369</v>
      </c>
      <c r="P1636" s="141" t="s">
        <v>4579</v>
      </c>
    </row>
    <row r="1637" spans="1:16" ht="25.5">
      <c r="A1637" s="141">
        <v>76807</v>
      </c>
      <c r="B1637" s="141" t="s">
        <v>4325</v>
      </c>
      <c r="C1637" s="142">
        <v>41201</v>
      </c>
      <c r="D1637" s="141">
        <v>720</v>
      </c>
      <c r="E1637" s="141" t="str">
        <f t="shared" si="137"/>
        <v>001</v>
      </c>
      <c r="F1637" s="141" t="s">
        <v>4326</v>
      </c>
      <c r="G1637" s="141" t="str">
        <f t="shared" si="139"/>
        <v>1440</v>
      </c>
      <c r="H1637" s="141" t="s">
        <v>974</v>
      </c>
      <c r="I1637" s="141" t="str">
        <f t="shared" si="138"/>
        <v>999</v>
      </c>
      <c r="J1637" s="141" t="s">
        <v>4327</v>
      </c>
      <c r="K1637" s="141">
        <v>2166</v>
      </c>
      <c r="L1637" s="141">
        <v>4</v>
      </c>
      <c r="M1637" s="141">
        <v>0</v>
      </c>
      <c r="N1637" s="141">
        <v>2000</v>
      </c>
      <c r="O1637" s="141" t="s">
        <v>4350</v>
      </c>
      <c r="P1637" s="141"/>
    </row>
    <row r="1638" spans="1:16" ht="25.5">
      <c r="A1638" s="141">
        <v>76807</v>
      </c>
      <c r="B1638" s="141" t="s">
        <v>4325</v>
      </c>
      <c r="C1638" s="142">
        <v>41201</v>
      </c>
      <c r="D1638" s="141">
        <v>720</v>
      </c>
      <c r="E1638" s="141" t="str">
        <f t="shared" si="137"/>
        <v>001</v>
      </c>
      <c r="F1638" s="141" t="s">
        <v>4326</v>
      </c>
      <c r="G1638" s="141" t="str">
        <f t="shared" si="139"/>
        <v>1440</v>
      </c>
      <c r="H1638" s="141" t="s">
        <v>974</v>
      </c>
      <c r="I1638" s="141" t="str">
        <f t="shared" si="138"/>
        <v>999</v>
      </c>
      <c r="J1638" s="141" t="s">
        <v>4327</v>
      </c>
      <c r="K1638" s="141">
        <v>2167</v>
      </c>
      <c r="L1638" s="141">
        <v>6</v>
      </c>
      <c r="M1638" s="141">
        <v>0</v>
      </c>
      <c r="N1638" s="141">
        <v>4000</v>
      </c>
      <c r="O1638" s="141" t="s">
        <v>4343</v>
      </c>
      <c r="P1638" s="141"/>
    </row>
    <row r="1639" spans="1:16" ht="25.5">
      <c r="A1639" s="141">
        <v>76807</v>
      </c>
      <c r="B1639" s="141" t="s">
        <v>4325</v>
      </c>
      <c r="C1639" s="142">
        <v>41201</v>
      </c>
      <c r="D1639" s="141">
        <v>720</v>
      </c>
      <c r="E1639" s="141" t="str">
        <f t="shared" si="137"/>
        <v>001</v>
      </c>
      <c r="F1639" s="141" t="s">
        <v>4326</v>
      </c>
      <c r="G1639" s="141" t="str">
        <f t="shared" si="139"/>
        <v>1440</v>
      </c>
      <c r="H1639" s="141" t="s">
        <v>974</v>
      </c>
      <c r="I1639" s="141" t="str">
        <f t="shared" si="138"/>
        <v>999</v>
      </c>
      <c r="J1639" s="141" t="s">
        <v>4327</v>
      </c>
      <c r="K1639" s="141">
        <v>2168</v>
      </c>
      <c r="L1639" s="141">
        <v>1</v>
      </c>
      <c r="M1639" s="141">
        <v>0</v>
      </c>
      <c r="N1639" s="141">
        <v>2000</v>
      </c>
      <c r="O1639" s="141" t="s">
        <v>4345</v>
      </c>
      <c r="P1639" s="141"/>
    </row>
    <row r="1640" spans="1:16" ht="25.5">
      <c r="A1640" s="141">
        <v>76807</v>
      </c>
      <c r="B1640" s="141" t="s">
        <v>4325</v>
      </c>
      <c r="C1640" s="142">
        <v>41201</v>
      </c>
      <c r="D1640" s="141">
        <v>720</v>
      </c>
      <c r="E1640" s="141" t="str">
        <f t="shared" si="137"/>
        <v>001</v>
      </c>
      <c r="F1640" s="141" t="s">
        <v>4326</v>
      </c>
      <c r="G1640" s="141" t="str">
        <f t="shared" si="139"/>
        <v>1440</v>
      </c>
      <c r="H1640" s="141" t="s">
        <v>974</v>
      </c>
      <c r="I1640" s="141" t="str">
        <f t="shared" si="138"/>
        <v>999</v>
      </c>
      <c r="J1640" s="141" t="s">
        <v>4327</v>
      </c>
      <c r="K1640" s="141">
        <v>2169</v>
      </c>
      <c r="L1640" s="141">
        <v>7</v>
      </c>
      <c r="M1640" s="141">
        <v>0</v>
      </c>
      <c r="N1640" s="141">
        <v>9000</v>
      </c>
      <c r="O1640" s="141" t="s">
        <v>4738</v>
      </c>
      <c r="P1640" s="141"/>
    </row>
    <row r="1641" spans="1:16" ht="25.5">
      <c r="A1641" s="141">
        <v>76807</v>
      </c>
      <c r="B1641" s="141" t="s">
        <v>4325</v>
      </c>
      <c r="C1641" s="142">
        <v>41201</v>
      </c>
      <c r="D1641" s="141">
        <v>720</v>
      </c>
      <c r="E1641" s="141" t="str">
        <f t="shared" si="137"/>
        <v>001</v>
      </c>
      <c r="F1641" s="141" t="s">
        <v>4326</v>
      </c>
      <c r="G1641" s="141" t="str">
        <f t="shared" si="139"/>
        <v>1440</v>
      </c>
      <c r="H1641" s="141" t="s">
        <v>974</v>
      </c>
      <c r="I1641" s="141" t="str">
        <f t="shared" si="138"/>
        <v>999</v>
      </c>
      <c r="J1641" s="141" t="s">
        <v>4327</v>
      </c>
      <c r="K1641" s="141">
        <v>2170</v>
      </c>
      <c r="L1641" s="141">
        <v>8</v>
      </c>
      <c r="M1641" s="141">
        <v>0</v>
      </c>
      <c r="N1641" s="141">
        <v>14000</v>
      </c>
      <c r="O1641" s="141" t="s">
        <v>4685</v>
      </c>
      <c r="P1641" s="141"/>
    </row>
    <row r="1642" spans="1:16" ht="25.5">
      <c r="A1642" s="141">
        <v>76807</v>
      </c>
      <c r="B1642" s="141" t="s">
        <v>4325</v>
      </c>
      <c r="C1642" s="142">
        <v>41201</v>
      </c>
      <c r="D1642" s="141">
        <v>720</v>
      </c>
      <c r="E1642" s="141" t="str">
        <f t="shared" si="137"/>
        <v>001</v>
      </c>
      <c r="F1642" s="141" t="s">
        <v>4326</v>
      </c>
      <c r="G1642" s="141" t="str">
        <f t="shared" si="139"/>
        <v>1440</v>
      </c>
      <c r="H1642" s="141" t="s">
        <v>974</v>
      </c>
      <c r="I1642" s="141" t="str">
        <f t="shared" si="138"/>
        <v>999</v>
      </c>
      <c r="J1642" s="141" t="s">
        <v>4327</v>
      </c>
      <c r="K1642" s="141">
        <v>2173</v>
      </c>
      <c r="L1642" s="141">
        <v>1</v>
      </c>
      <c r="M1642" s="141">
        <v>0</v>
      </c>
      <c r="N1642" s="141">
        <v>4000</v>
      </c>
      <c r="O1642" s="141" t="s">
        <v>4397</v>
      </c>
      <c r="P1642" s="141" t="s">
        <v>4787</v>
      </c>
    </row>
    <row r="1643" spans="1:16" ht="25.5">
      <c r="A1643" s="141">
        <v>76807</v>
      </c>
      <c r="B1643" s="141" t="s">
        <v>4325</v>
      </c>
      <c r="C1643" s="142">
        <v>41201</v>
      </c>
      <c r="D1643" s="141">
        <v>1185</v>
      </c>
      <c r="E1643" s="141" t="str">
        <f t="shared" si="137"/>
        <v>001</v>
      </c>
      <c r="F1643" s="141" t="s">
        <v>4326</v>
      </c>
      <c r="G1643" s="141" t="str">
        <f t="shared" ref="G1643:G1658" si="140">"1442"</f>
        <v>1442</v>
      </c>
      <c r="H1643" s="141" t="s">
        <v>2422</v>
      </c>
      <c r="I1643" s="141" t="str">
        <f t="shared" si="138"/>
        <v>999</v>
      </c>
      <c r="J1643" s="141" t="s">
        <v>4327</v>
      </c>
      <c r="K1643" s="141">
        <v>3271</v>
      </c>
      <c r="L1643" s="141">
        <v>2</v>
      </c>
      <c r="M1643" s="141">
        <v>0</v>
      </c>
      <c r="N1643" s="141">
        <v>4000</v>
      </c>
      <c r="O1643" s="141" t="s">
        <v>4345</v>
      </c>
      <c r="P1643" s="141"/>
    </row>
    <row r="1644" spans="1:16" ht="25.5">
      <c r="A1644" s="141">
        <v>76807</v>
      </c>
      <c r="B1644" s="141" t="s">
        <v>4325</v>
      </c>
      <c r="C1644" s="142">
        <v>41201</v>
      </c>
      <c r="D1644" s="141">
        <v>1185</v>
      </c>
      <c r="E1644" s="141" t="str">
        <f t="shared" si="137"/>
        <v>001</v>
      </c>
      <c r="F1644" s="141" t="s">
        <v>4326</v>
      </c>
      <c r="G1644" s="141" t="str">
        <f t="shared" si="140"/>
        <v>1442</v>
      </c>
      <c r="H1644" s="141" t="s">
        <v>2422</v>
      </c>
      <c r="I1644" s="141" t="str">
        <f t="shared" si="138"/>
        <v>999</v>
      </c>
      <c r="J1644" s="141" t="s">
        <v>4327</v>
      </c>
      <c r="K1644" s="141">
        <v>3272</v>
      </c>
      <c r="L1644" s="141">
        <v>2</v>
      </c>
      <c r="M1644" s="141">
        <v>0</v>
      </c>
      <c r="N1644" s="141">
        <v>13000</v>
      </c>
      <c r="O1644" s="141" t="s">
        <v>4500</v>
      </c>
      <c r="P1644" s="141"/>
    </row>
    <row r="1645" spans="1:16" ht="25.5">
      <c r="A1645" s="141">
        <v>76807</v>
      </c>
      <c r="B1645" s="141" t="s">
        <v>4325</v>
      </c>
      <c r="C1645" s="142">
        <v>41201</v>
      </c>
      <c r="D1645" s="141">
        <v>1185</v>
      </c>
      <c r="E1645" s="141" t="str">
        <f t="shared" si="137"/>
        <v>001</v>
      </c>
      <c r="F1645" s="141" t="s">
        <v>4326</v>
      </c>
      <c r="G1645" s="141" t="str">
        <f t="shared" si="140"/>
        <v>1442</v>
      </c>
      <c r="H1645" s="141" t="s">
        <v>2422</v>
      </c>
      <c r="I1645" s="141" t="str">
        <f t="shared" si="138"/>
        <v>999</v>
      </c>
      <c r="J1645" s="141" t="s">
        <v>4327</v>
      </c>
      <c r="K1645" s="141">
        <v>3273</v>
      </c>
      <c r="L1645" s="141">
        <v>1</v>
      </c>
      <c r="M1645" s="141">
        <v>0</v>
      </c>
      <c r="N1645" s="141">
        <v>4000</v>
      </c>
      <c r="O1645" s="141" t="s">
        <v>4371</v>
      </c>
      <c r="P1645" s="141" t="s">
        <v>4372</v>
      </c>
    </row>
    <row r="1646" spans="1:16" ht="25.5">
      <c r="A1646" s="141">
        <v>76807</v>
      </c>
      <c r="B1646" s="141" t="s">
        <v>4325</v>
      </c>
      <c r="C1646" s="142">
        <v>41201</v>
      </c>
      <c r="D1646" s="141">
        <v>1185</v>
      </c>
      <c r="E1646" s="141" t="str">
        <f t="shared" si="137"/>
        <v>001</v>
      </c>
      <c r="F1646" s="141" t="s">
        <v>4326</v>
      </c>
      <c r="G1646" s="141" t="str">
        <f t="shared" si="140"/>
        <v>1442</v>
      </c>
      <c r="H1646" s="141" t="s">
        <v>2422</v>
      </c>
      <c r="I1646" s="141" t="str">
        <f t="shared" si="138"/>
        <v>999</v>
      </c>
      <c r="J1646" s="141" t="s">
        <v>4327</v>
      </c>
      <c r="K1646" s="141">
        <v>3274</v>
      </c>
      <c r="L1646" s="141">
        <v>1</v>
      </c>
      <c r="M1646" s="141">
        <v>0</v>
      </c>
      <c r="N1646" s="141">
        <v>4000</v>
      </c>
      <c r="O1646" s="141" t="s">
        <v>4371</v>
      </c>
      <c r="P1646" s="141" t="s">
        <v>4372</v>
      </c>
    </row>
    <row r="1647" spans="1:16" ht="25.5">
      <c r="A1647" s="141">
        <v>76807</v>
      </c>
      <c r="B1647" s="141" t="s">
        <v>4325</v>
      </c>
      <c r="C1647" s="142">
        <v>41201</v>
      </c>
      <c r="D1647" s="141">
        <v>1185</v>
      </c>
      <c r="E1647" s="141" t="str">
        <f t="shared" si="137"/>
        <v>001</v>
      </c>
      <c r="F1647" s="141" t="s">
        <v>4326</v>
      </c>
      <c r="G1647" s="141" t="str">
        <f t="shared" si="140"/>
        <v>1442</v>
      </c>
      <c r="H1647" s="141" t="s">
        <v>2422</v>
      </c>
      <c r="I1647" s="141" t="str">
        <f t="shared" si="138"/>
        <v>999</v>
      </c>
      <c r="J1647" s="141" t="s">
        <v>4327</v>
      </c>
      <c r="K1647" s="141">
        <v>3275</v>
      </c>
      <c r="L1647" s="141">
        <v>1</v>
      </c>
      <c r="M1647" s="141">
        <v>0</v>
      </c>
      <c r="N1647" s="141">
        <v>6000</v>
      </c>
      <c r="O1647" s="141" t="s">
        <v>4407</v>
      </c>
      <c r="P1647" s="141"/>
    </row>
    <row r="1648" spans="1:16" ht="25.5">
      <c r="A1648" s="141">
        <v>76807</v>
      </c>
      <c r="B1648" s="141" t="s">
        <v>4325</v>
      </c>
      <c r="C1648" s="142">
        <v>41201</v>
      </c>
      <c r="D1648" s="141">
        <v>1185</v>
      </c>
      <c r="E1648" s="141" t="str">
        <f t="shared" si="137"/>
        <v>001</v>
      </c>
      <c r="F1648" s="141" t="s">
        <v>4326</v>
      </c>
      <c r="G1648" s="141" t="str">
        <f t="shared" si="140"/>
        <v>1442</v>
      </c>
      <c r="H1648" s="141" t="s">
        <v>2422</v>
      </c>
      <c r="I1648" s="141" t="str">
        <f t="shared" si="138"/>
        <v>999</v>
      </c>
      <c r="J1648" s="141" t="s">
        <v>4327</v>
      </c>
      <c r="K1648" s="141">
        <v>3276</v>
      </c>
      <c r="L1648" s="141">
        <v>1</v>
      </c>
      <c r="M1648" s="141">
        <v>0</v>
      </c>
      <c r="N1648" s="141">
        <v>4000</v>
      </c>
      <c r="O1648" s="141" t="s">
        <v>4388</v>
      </c>
      <c r="P1648" s="141" t="s">
        <v>4788</v>
      </c>
    </row>
    <row r="1649" spans="1:16" ht="25.5">
      <c r="A1649" s="141">
        <v>76807</v>
      </c>
      <c r="B1649" s="141" t="s">
        <v>4325</v>
      </c>
      <c r="C1649" s="142">
        <v>41201</v>
      </c>
      <c r="D1649" s="141">
        <v>1185</v>
      </c>
      <c r="E1649" s="141" t="str">
        <f t="shared" si="137"/>
        <v>001</v>
      </c>
      <c r="F1649" s="141" t="s">
        <v>4326</v>
      </c>
      <c r="G1649" s="141" t="str">
        <f t="shared" si="140"/>
        <v>1442</v>
      </c>
      <c r="H1649" s="141" t="s">
        <v>2422</v>
      </c>
      <c r="I1649" s="141" t="str">
        <f t="shared" si="138"/>
        <v>999</v>
      </c>
      <c r="J1649" s="141" t="s">
        <v>4327</v>
      </c>
      <c r="K1649" s="141">
        <v>3277</v>
      </c>
      <c r="L1649" s="141">
        <v>2</v>
      </c>
      <c r="M1649" s="141">
        <v>0</v>
      </c>
      <c r="N1649" s="141">
        <v>16000</v>
      </c>
      <c r="O1649" s="141" t="s">
        <v>4357</v>
      </c>
      <c r="P1649" s="141" t="s">
        <v>4547</v>
      </c>
    </row>
    <row r="1650" spans="1:16" ht="25.5">
      <c r="A1650" s="141">
        <v>76807</v>
      </c>
      <c r="B1650" s="141" t="s">
        <v>4325</v>
      </c>
      <c r="C1650" s="142">
        <v>41201</v>
      </c>
      <c r="D1650" s="141">
        <v>1185</v>
      </c>
      <c r="E1650" s="141" t="str">
        <f t="shared" si="137"/>
        <v>001</v>
      </c>
      <c r="F1650" s="141" t="s">
        <v>4326</v>
      </c>
      <c r="G1650" s="141" t="str">
        <f t="shared" si="140"/>
        <v>1442</v>
      </c>
      <c r="H1650" s="141" t="s">
        <v>2422</v>
      </c>
      <c r="I1650" s="141" t="str">
        <f t="shared" si="138"/>
        <v>999</v>
      </c>
      <c r="J1650" s="141" t="s">
        <v>4327</v>
      </c>
      <c r="K1650" s="141">
        <v>3278</v>
      </c>
      <c r="L1650" s="141">
        <v>3</v>
      </c>
      <c r="M1650" s="141">
        <v>0</v>
      </c>
      <c r="N1650" s="141">
        <v>32000</v>
      </c>
      <c r="O1650" s="141" t="s">
        <v>4357</v>
      </c>
      <c r="P1650" s="141" t="s">
        <v>4626</v>
      </c>
    </row>
    <row r="1651" spans="1:16" ht="25.5">
      <c r="A1651" s="141">
        <v>76807</v>
      </c>
      <c r="B1651" s="141" t="s">
        <v>4325</v>
      </c>
      <c r="C1651" s="142">
        <v>41201</v>
      </c>
      <c r="D1651" s="141">
        <v>1185</v>
      </c>
      <c r="E1651" s="141" t="str">
        <f t="shared" si="137"/>
        <v>001</v>
      </c>
      <c r="F1651" s="141" t="s">
        <v>4326</v>
      </c>
      <c r="G1651" s="141" t="str">
        <f t="shared" si="140"/>
        <v>1442</v>
      </c>
      <c r="H1651" s="141" t="s">
        <v>2422</v>
      </c>
      <c r="I1651" s="141" t="str">
        <f t="shared" si="138"/>
        <v>999</v>
      </c>
      <c r="J1651" s="141" t="s">
        <v>4327</v>
      </c>
      <c r="K1651" s="141">
        <v>3279</v>
      </c>
      <c r="L1651" s="141">
        <v>10</v>
      </c>
      <c r="M1651" s="141">
        <v>0</v>
      </c>
      <c r="N1651" s="141">
        <v>6000</v>
      </c>
      <c r="O1651" s="141" t="s">
        <v>4350</v>
      </c>
      <c r="P1651" s="141"/>
    </row>
    <row r="1652" spans="1:16" ht="25.5">
      <c r="A1652" s="141">
        <v>76807</v>
      </c>
      <c r="B1652" s="141" t="s">
        <v>4325</v>
      </c>
      <c r="C1652" s="142">
        <v>41201</v>
      </c>
      <c r="D1652" s="141">
        <v>1185</v>
      </c>
      <c r="E1652" s="141" t="str">
        <f t="shared" si="137"/>
        <v>001</v>
      </c>
      <c r="F1652" s="141" t="s">
        <v>4326</v>
      </c>
      <c r="G1652" s="141" t="str">
        <f t="shared" si="140"/>
        <v>1442</v>
      </c>
      <c r="H1652" s="141" t="s">
        <v>2422</v>
      </c>
      <c r="I1652" s="141" t="str">
        <f t="shared" si="138"/>
        <v>999</v>
      </c>
      <c r="J1652" s="141" t="s">
        <v>4327</v>
      </c>
      <c r="K1652" s="141">
        <v>3280</v>
      </c>
      <c r="L1652" s="141">
        <v>6</v>
      </c>
      <c r="M1652" s="141">
        <v>0</v>
      </c>
      <c r="N1652" s="141">
        <v>4000</v>
      </c>
      <c r="O1652" s="141" t="s">
        <v>4343</v>
      </c>
      <c r="P1652" s="141"/>
    </row>
    <row r="1653" spans="1:16" ht="25.5">
      <c r="A1653" s="141">
        <v>76807</v>
      </c>
      <c r="B1653" s="141" t="s">
        <v>4325</v>
      </c>
      <c r="C1653" s="142">
        <v>41201</v>
      </c>
      <c r="D1653" s="141">
        <v>1185</v>
      </c>
      <c r="E1653" s="141" t="str">
        <f t="shared" si="137"/>
        <v>001</v>
      </c>
      <c r="F1653" s="141" t="s">
        <v>4326</v>
      </c>
      <c r="G1653" s="141" t="str">
        <f t="shared" si="140"/>
        <v>1442</v>
      </c>
      <c r="H1653" s="141" t="s">
        <v>2422</v>
      </c>
      <c r="I1653" s="141" t="str">
        <f t="shared" si="138"/>
        <v>999</v>
      </c>
      <c r="J1653" s="141" t="s">
        <v>4327</v>
      </c>
      <c r="K1653" s="141">
        <v>3281</v>
      </c>
      <c r="L1653" s="141">
        <v>7</v>
      </c>
      <c r="M1653" s="141">
        <v>0</v>
      </c>
      <c r="N1653" s="141">
        <v>5000</v>
      </c>
      <c r="O1653" s="141" t="s">
        <v>4343</v>
      </c>
      <c r="P1653" s="141"/>
    </row>
    <row r="1654" spans="1:16" ht="25.5">
      <c r="A1654" s="141">
        <v>76807</v>
      </c>
      <c r="B1654" s="141" t="s">
        <v>4325</v>
      </c>
      <c r="C1654" s="142">
        <v>41201</v>
      </c>
      <c r="D1654" s="141">
        <v>1185</v>
      </c>
      <c r="E1654" s="141" t="str">
        <f t="shared" si="137"/>
        <v>001</v>
      </c>
      <c r="F1654" s="141" t="s">
        <v>4326</v>
      </c>
      <c r="G1654" s="141" t="str">
        <f t="shared" si="140"/>
        <v>1442</v>
      </c>
      <c r="H1654" s="141" t="s">
        <v>2422</v>
      </c>
      <c r="I1654" s="141" t="str">
        <f t="shared" si="138"/>
        <v>999</v>
      </c>
      <c r="J1654" s="141" t="s">
        <v>4327</v>
      </c>
      <c r="K1654" s="141">
        <v>3282</v>
      </c>
      <c r="L1654" s="141">
        <v>5</v>
      </c>
      <c r="M1654" s="141">
        <v>0</v>
      </c>
      <c r="N1654" s="141">
        <v>1000</v>
      </c>
      <c r="O1654" s="141" t="s">
        <v>4624</v>
      </c>
      <c r="P1654" s="141"/>
    </row>
    <row r="1655" spans="1:16" ht="25.5">
      <c r="A1655" s="141">
        <v>76807</v>
      </c>
      <c r="B1655" s="141" t="s">
        <v>4325</v>
      </c>
      <c r="C1655" s="142">
        <v>41201</v>
      </c>
      <c r="D1655" s="141">
        <v>1185</v>
      </c>
      <c r="E1655" s="141" t="str">
        <f t="shared" si="137"/>
        <v>001</v>
      </c>
      <c r="F1655" s="141" t="s">
        <v>4326</v>
      </c>
      <c r="G1655" s="141" t="str">
        <f t="shared" si="140"/>
        <v>1442</v>
      </c>
      <c r="H1655" s="141" t="s">
        <v>2422</v>
      </c>
      <c r="I1655" s="141" t="str">
        <f t="shared" si="138"/>
        <v>999</v>
      </c>
      <c r="J1655" s="141" t="s">
        <v>4327</v>
      </c>
      <c r="K1655" s="141">
        <v>3283</v>
      </c>
      <c r="L1655" s="141">
        <v>1</v>
      </c>
      <c r="M1655" s="141">
        <v>0</v>
      </c>
      <c r="N1655" s="141">
        <v>112000</v>
      </c>
      <c r="O1655" s="141" t="s">
        <v>4366</v>
      </c>
      <c r="P1655" s="141" t="s">
        <v>4367</v>
      </c>
    </row>
    <row r="1656" spans="1:16" ht="25.5">
      <c r="A1656" s="141">
        <v>76807</v>
      </c>
      <c r="B1656" s="141" t="s">
        <v>4325</v>
      </c>
      <c r="C1656" s="142">
        <v>41201</v>
      </c>
      <c r="D1656" s="141">
        <v>1185</v>
      </c>
      <c r="E1656" s="141" t="str">
        <f t="shared" si="137"/>
        <v>001</v>
      </c>
      <c r="F1656" s="141" t="s">
        <v>4326</v>
      </c>
      <c r="G1656" s="141" t="str">
        <f t="shared" si="140"/>
        <v>1442</v>
      </c>
      <c r="H1656" s="141" t="s">
        <v>2422</v>
      </c>
      <c r="I1656" s="141" t="str">
        <f t="shared" si="138"/>
        <v>999</v>
      </c>
      <c r="J1656" s="141" t="s">
        <v>4327</v>
      </c>
      <c r="K1656" s="141">
        <v>3345</v>
      </c>
      <c r="L1656" s="141">
        <v>1</v>
      </c>
      <c r="M1656" s="141">
        <v>0</v>
      </c>
      <c r="N1656" s="141">
        <v>14000</v>
      </c>
      <c r="O1656" s="141" t="s">
        <v>4789</v>
      </c>
      <c r="P1656" s="141"/>
    </row>
    <row r="1657" spans="1:16" ht="25.5">
      <c r="A1657" s="141">
        <v>76807</v>
      </c>
      <c r="B1657" s="141" t="s">
        <v>4325</v>
      </c>
      <c r="C1657" s="142">
        <v>41201</v>
      </c>
      <c r="D1657" s="141">
        <v>1185</v>
      </c>
      <c r="E1657" s="141" t="str">
        <f t="shared" si="137"/>
        <v>001</v>
      </c>
      <c r="F1657" s="141" t="s">
        <v>4326</v>
      </c>
      <c r="G1657" s="141" t="str">
        <f t="shared" si="140"/>
        <v>1442</v>
      </c>
      <c r="H1657" s="141" t="s">
        <v>2422</v>
      </c>
      <c r="I1657" s="141" t="str">
        <f t="shared" si="138"/>
        <v>999</v>
      </c>
      <c r="J1657" s="141" t="s">
        <v>4327</v>
      </c>
      <c r="K1657" s="141">
        <v>3346</v>
      </c>
      <c r="L1657" s="141">
        <v>1</v>
      </c>
      <c r="M1657" s="141">
        <v>0</v>
      </c>
      <c r="N1657" s="141">
        <v>7000</v>
      </c>
      <c r="O1657" s="141" t="s">
        <v>4790</v>
      </c>
      <c r="P1657" s="141"/>
    </row>
    <row r="1658" spans="1:16" ht="25.5">
      <c r="A1658" s="141">
        <v>76807</v>
      </c>
      <c r="B1658" s="141" t="s">
        <v>4325</v>
      </c>
      <c r="C1658" s="142">
        <v>41201</v>
      </c>
      <c r="D1658" s="141">
        <v>1185</v>
      </c>
      <c r="E1658" s="141" t="str">
        <f t="shared" si="137"/>
        <v>001</v>
      </c>
      <c r="F1658" s="141" t="s">
        <v>4326</v>
      </c>
      <c r="G1658" s="141" t="str">
        <f t="shared" si="140"/>
        <v>1442</v>
      </c>
      <c r="H1658" s="141" t="s">
        <v>2422</v>
      </c>
      <c r="I1658" s="141" t="str">
        <f t="shared" si="138"/>
        <v>999</v>
      </c>
      <c r="J1658" s="141" t="s">
        <v>4327</v>
      </c>
      <c r="K1658" s="141">
        <v>3347</v>
      </c>
      <c r="L1658" s="141">
        <v>1</v>
      </c>
      <c r="M1658" s="141">
        <v>0</v>
      </c>
      <c r="N1658" s="141">
        <v>17000</v>
      </c>
      <c r="O1658" s="141" t="s">
        <v>4662</v>
      </c>
      <c r="P1658" s="141"/>
    </row>
    <row r="1659" spans="1:16" ht="25.5">
      <c r="A1659" s="141">
        <v>76807</v>
      </c>
      <c r="B1659" s="141" t="s">
        <v>4325</v>
      </c>
      <c r="C1659" s="142">
        <v>41201</v>
      </c>
      <c r="D1659" s="141">
        <v>1188</v>
      </c>
      <c r="E1659" s="141" t="str">
        <f t="shared" si="137"/>
        <v>001</v>
      </c>
      <c r="F1659" s="141" t="s">
        <v>4326</v>
      </c>
      <c r="G1659" s="141" t="str">
        <f t="shared" ref="G1659:G1669" si="141">"1443"</f>
        <v>1443</v>
      </c>
      <c r="H1659" s="141" t="s">
        <v>2424</v>
      </c>
      <c r="I1659" s="141" t="str">
        <f t="shared" si="138"/>
        <v>999</v>
      </c>
      <c r="J1659" s="141" t="s">
        <v>4327</v>
      </c>
      <c r="K1659" s="141">
        <v>3325</v>
      </c>
      <c r="L1659" s="141">
        <v>1</v>
      </c>
      <c r="M1659" s="141">
        <v>0</v>
      </c>
      <c r="N1659" s="141">
        <v>32000</v>
      </c>
      <c r="O1659" s="141" t="s">
        <v>4420</v>
      </c>
      <c r="P1659" s="141" t="s">
        <v>4791</v>
      </c>
    </row>
    <row r="1660" spans="1:16" ht="25.5">
      <c r="A1660" s="141">
        <v>76807</v>
      </c>
      <c r="B1660" s="141" t="s">
        <v>4325</v>
      </c>
      <c r="C1660" s="142">
        <v>41201</v>
      </c>
      <c r="D1660" s="141">
        <v>1188</v>
      </c>
      <c r="E1660" s="141" t="str">
        <f t="shared" si="137"/>
        <v>001</v>
      </c>
      <c r="F1660" s="141" t="s">
        <v>4326</v>
      </c>
      <c r="G1660" s="141" t="str">
        <f t="shared" si="141"/>
        <v>1443</v>
      </c>
      <c r="H1660" s="141" t="s">
        <v>2424</v>
      </c>
      <c r="I1660" s="141" t="str">
        <f t="shared" si="138"/>
        <v>999</v>
      </c>
      <c r="J1660" s="141" t="s">
        <v>4327</v>
      </c>
      <c r="K1660" s="141">
        <v>3326</v>
      </c>
      <c r="L1660" s="141">
        <v>1</v>
      </c>
      <c r="M1660" s="141">
        <v>0</v>
      </c>
      <c r="N1660" s="141">
        <v>1000</v>
      </c>
      <c r="O1660" s="141" t="s">
        <v>4328</v>
      </c>
      <c r="P1660" s="141" t="s">
        <v>4792</v>
      </c>
    </row>
    <row r="1661" spans="1:16" ht="25.5">
      <c r="A1661" s="141">
        <v>76807</v>
      </c>
      <c r="B1661" s="141" t="s">
        <v>4325</v>
      </c>
      <c r="C1661" s="142">
        <v>41201</v>
      </c>
      <c r="D1661" s="141">
        <v>1188</v>
      </c>
      <c r="E1661" s="141" t="str">
        <f t="shared" si="137"/>
        <v>001</v>
      </c>
      <c r="F1661" s="141" t="s">
        <v>4326</v>
      </c>
      <c r="G1661" s="141" t="str">
        <f t="shared" si="141"/>
        <v>1443</v>
      </c>
      <c r="H1661" s="141" t="s">
        <v>2424</v>
      </c>
      <c r="I1661" s="141" t="str">
        <f t="shared" si="138"/>
        <v>999</v>
      </c>
      <c r="J1661" s="141" t="s">
        <v>4327</v>
      </c>
      <c r="K1661" s="141">
        <v>3327</v>
      </c>
      <c r="L1661" s="141">
        <v>1</v>
      </c>
      <c r="M1661" s="141">
        <v>0</v>
      </c>
      <c r="N1661" s="141">
        <v>30000</v>
      </c>
      <c r="O1661" s="141" t="s">
        <v>4458</v>
      </c>
      <c r="P1661" s="141" t="s">
        <v>4504</v>
      </c>
    </row>
    <row r="1662" spans="1:16" ht="25.5">
      <c r="A1662" s="141">
        <v>76807</v>
      </c>
      <c r="B1662" s="141" t="s">
        <v>4325</v>
      </c>
      <c r="C1662" s="142">
        <v>41201</v>
      </c>
      <c r="D1662" s="141">
        <v>1188</v>
      </c>
      <c r="E1662" s="141" t="str">
        <f t="shared" si="137"/>
        <v>001</v>
      </c>
      <c r="F1662" s="141" t="s">
        <v>4326</v>
      </c>
      <c r="G1662" s="141" t="str">
        <f t="shared" si="141"/>
        <v>1443</v>
      </c>
      <c r="H1662" s="141" t="s">
        <v>2424</v>
      </c>
      <c r="I1662" s="141" t="str">
        <f t="shared" si="138"/>
        <v>999</v>
      </c>
      <c r="J1662" s="141" t="s">
        <v>4327</v>
      </c>
      <c r="K1662" s="141">
        <v>3328</v>
      </c>
      <c r="L1662" s="141">
        <v>2</v>
      </c>
      <c r="M1662" s="141">
        <v>0</v>
      </c>
      <c r="N1662" s="141">
        <v>0</v>
      </c>
      <c r="O1662" s="141" t="s">
        <v>4624</v>
      </c>
      <c r="P1662" s="141"/>
    </row>
    <row r="1663" spans="1:16" ht="25.5">
      <c r="A1663" s="141">
        <v>76807</v>
      </c>
      <c r="B1663" s="141" t="s">
        <v>4325</v>
      </c>
      <c r="C1663" s="142">
        <v>41201</v>
      </c>
      <c r="D1663" s="141">
        <v>1188</v>
      </c>
      <c r="E1663" s="141" t="str">
        <f t="shared" si="137"/>
        <v>001</v>
      </c>
      <c r="F1663" s="141" t="s">
        <v>4326</v>
      </c>
      <c r="G1663" s="141" t="str">
        <f t="shared" si="141"/>
        <v>1443</v>
      </c>
      <c r="H1663" s="141" t="s">
        <v>2424</v>
      </c>
      <c r="I1663" s="141" t="str">
        <f t="shared" si="138"/>
        <v>999</v>
      </c>
      <c r="J1663" s="141" t="s">
        <v>4327</v>
      </c>
      <c r="K1663" s="141">
        <v>3329</v>
      </c>
      <c r="L1663" s="141">
        <v>4</v>
      </c>
      <c r="M1663" s="141">
        <v>0</v>
      </c>
      <c r="N1663" s="141">
        <v>3000</v>
      </c>
      <c r="O1663" s="141" t="s">
        <v>4343</v>
      </c>
      <c r="P1663" s="141"/>
    </row>
    <row r="1664" spans="1:16" ht="25.5">
      <c r="A1664" s="141">
        <v>76807</v>
      </c>
      <c r="B1664" s="141" t="s">
        <v>4325</v>
      </c>
      <c r="C1664" s="142">
        <v>41201</v>
      </c>
      <c r="D1664" s="141">
        <v>1188</v>
      </c>
      <c r="E1664" s="141" t="str">
        <f t="shared" si="137"/>
        <v>001</v>
      </c>
      <c r="F1664" s="141" t="s">
        <v>4326</v>
      </c>
      <c r="G1664" s="141" t="str">
        <f t="shared" si="141"/>
        <v>1443</v>
      </c>
      <c r="H1664" s="141" t="s">
        <v>2424</v>
      </c>
      <c r="I1664" s="141" t="str">
        <f t="shared" si="138"/>
        <v>999</v>
      </c>
      <c r="J1664" s="141" t="s">
        <v>4327</v>
      </c>
      <c r="K1664" s="141">
        <v>3330</v>
      </c>
      <c r="L1664" s="141">
        <v>5</v>
      </c>
      <c r="M1664" s="141">
        <v>0</v>
      </c>
      <c r="N1664" s="141">
        <v>1000</v>
      </c>
      <c r="O1664" s="141" t="s">
        <v>4625</v>
      </c>
      <c r="P1664" s="141"/>
    </row>
    <row r="1665" spans="1:16" ht="25.5">
      <c r="A1665" s="141">
        <v>76807</v>
      </c>
      <c r="B1665" s="141" t="s">
        <v>4325</v>
      </c>
      <c r="C1665" s="142">
        <v>41201</v>
      </c>
      <c r="D1665" s="141">
        <v>1188</v>
      </c>
      <c r="E1665" s="141" t="str">
        <f t="shared" si="137"/>
        <v>001</v>
      </c>
      <c r="F1665" s="141" t="s">
        <v>4326</v>
      </c>
      <c r="G1665" s="141" t="str">
        <f t="shared" si="141"/>
        <v>1443</v>
      </c>
      <c r="H1665" s="141" t="s">
        <v>2424</v>
      </c>
      <c r="I1665" s="141" t="str">
        <f t="shared" si="138"/>
        <v>999</v>
      </c>
      <c r="J1665" s="141" t="s">
        <v>4327</v>
      </c>
      <c r="K1665" s="141">
        <v>3331</v>
      </c>
      <c r="L1665" s="141">
        <v>4</v>
      </c>
      <c r="M1665" s="141">
        <v>0</v>
      </c>
      <c r="N1665" s="141">
        <v>2000</v>
      </c>
      <c r="O1665" s="141" t="s">
        <v>4350</v>
      </c>
      <c r="P1665" s="141"/>
    </row>
    <row r="1666" spans="1:16" ht="25.5">
      <c r="A1666" s="141">
        <v>76807</v>
      </c>
      <c r="B1666" s="141" t="s">
        <v>4325</v>
      </c>
      <c r="C1666" s="142">
        <v>41201</v>
      </c>
      <c r="D1666" s="141">
        <v>1188</v>
      </c>
      <c r="E1666" s="141" t="str">
        <f t="shared" ref="E1666:E1729" si="142">"001"</f>
        <v>001</v>
      </c>
      <c r="F1666" s="141" t="s">
        <v>4326</v>
      </c>
      <c r="G1666" s="141" t="str">
        <f t="shared" si="141"/>
        <v>1443</v>
      </c>
      <c r="H1666" s="141" t="s">
        <v>2424</v>
      </c>
      <c r="I1666" s="141" t="str">
        <f t="shared" ref="I1666:I1729" si="143">"999"</f>
        <v>999</v>
      </c>
      <c r="J1666" s="141" t="s">
        <v>4327</v>
      </c>
      <c r="K1666" s="141">
        <v>3332</v>
      </c>
      <c r="L1666" s="141">
        <v>1</v>
      </c>
      <c r="M1666" s="141">
        <v>0</v>
      </c>
      <c r="N1666" s="141">
        <v>0</v>
      </c>
      <c r="O1666" s="141" t="s">
        <v>4455</v>
      </c>
      <c r="P1666" s="141"/>
    </row>
    <row r="1667" spans="1:16" ht="25.5">
      <c r="A1667" s="141">
        <v>76807</v>
      </c>
      <c r="B1667" s="141" t="s">
        <v>4325</v>
      </c>
      <c r="C1667" s="142">
        <v>41201</v>
      </c>
      <c r="D1667" s="141">
        <v>1188</v>
      </c>
      <c r="E1667" s="141" t="str">
        <f t="shared" si="142"/>
        <v>001</v>
      </c>
      <c r="F1667" s="141" t="s">
        <v>4326</v>
      </c>
      <c r="G1667" s="141" t="str">
        <f t="shared" si="141"/>
        <v>1443</v>
      </c>
      <c r="H1667" s="141" t="s">
        <v>2424</v>
      </c>
      <c r="I1667" s="141" t="str">
        <f t="shared" si="143"/>
        <v>999</v>
      </c>
      <c r="J1667" s="141" t="s">
        <v>4327</v>
      </c>
      <c r="K1667" s="141">
        <v>3333</v>
      </c>
      <c r="L1667" s="141">
        <v>1</v>
      </c>
      <c r="M1667" s="141">
        <v>0</v>
      </c>
      <c r="N1667" s="141">
        <v>1000</v>
      </c>
      <c r="O1667" s="141" t="s">
        <v>4381</v>
      </c>
      <c r="P1667" s="141"/>
    </row>
    <row r="1668" spans="1:16" ht="25.5">
      <c r="A1668" s="141">
        <v>76807</v>
      </c>
      <c r="B1668" s="141" t="s">
        <v>4325</v>
      </c>
      <c r="C1668" s="142">
        <v>41201</v>
      </c>
      <c r="D1668" s="141">
        <v>1188</v>
      </c>
      <c r="E1668" s="141" t="str">
        <f t="shared" si="142"/>
        <v>001</v>
      </c>
      <c r="F1668" s="141" t="s">
        <v>4326</v>
      </c>
      <c r="G1668" s="141" t="str">
        <f t="shared" si="141"/>
        <v>1443</v>
      </c>
      <c r="H1668" s="141" t="s">
        <v>2424</v>
      </c>
      <c r="I1668" s="141" t="str">
        <f t="shared" si="143"/>
        <v>999</v>
      </c>
      <c r="J1668" s="141" t="s">
        <v>4327</v>
      </c>
      <c r="K1668" s="141">
        <v>3349</v>
      </c>
      <c r="L1668" s="141">
        <v>1</v>
      </c>
      <c r="M1668" s="141">
        <v>0</v>
      </c>
      <c r="N1668" s="141">
        <v>60000</v>
      </c>
      <c r="O1668" s="141" t="s">
        <v>4793</v>
      </c>
      <c r="P1668" s="141"/>
    </row>
    <row r="1669" spans="1:16" ht="25.5">
      <c r="A1669" s="141">
        <v>76807</v>
      </c>
      <c r="B1669" s="141" t="s">
        <v>4325</v>
      </c>
      <c r="C1669" s="142">
        <v>41201</v>
      </c>
      <c r="D1669" s="141">
        <v>1188</v>
      </c>
      <c r="E1669" s="141" t="str">
        <f t="shared" si="142"/>
        <v>001</v>
      </c>
      <c r="F1669" s="141" t="s">
        <v>4326</v>
      </c>
      <c r="G1669" s="141" t="str">
        <f t="shared" si="141"/>
        <v>1443</v>
      </c>
      <c r="H1669" s="141" t="s">
        <v>2424</v>
      </c>
      <c r="I1669" s="141" t="str">
        <f t="shared" si="143"/>
        <v>999</v>
      </c>
      <c r="J1669" s="141" t="s">
        <v>4327</v>
      </c>
      <c r="K1669" s="141">
        <v>3350</v>
      </c>
      <c r="L1669" s="141">
        <v>1</v>
      </c>
      <c r="M1669" s="141">
        <v>0</v>
      </c>
      <c r="N1669" s="141">
        <v>23000</v>
      </c>
      <c r="O1669" s="141" t="s">
        <v>4794</v>
      </c>
      <c r="P1669" s="141"/>
    </row>
    <row r="1670" spans="1:16" ht="25.5">
      <c r="A1670" s="141">
        <v>76807</v>
      </c>
      <c r="B1670" s="141" t="s">
        <v>4325</v>
      </c>
      <c r="C1670" s="142">
        <v>41201</v>
      </c>
      <c r="D1670" s="141">
        <v>434</v>
      </c>
      <c r="E1670" s="141" t="str">
        <f t="shared" si="142"/>
        <v>001</v>
      </c>
      <c r="F1670" s="141" t="s">
        <v>4326</v>
      </c>
      <c r="G1670" s="141" t="str">
        <f>"1444"</f>
        <v>1444</v>
      </c>
      <c r="H1670" s="141" t="s">
        <v>1653</v>
      </c>
      <c r="I1670" s="141" t="str">
        <f t="shared" si="143"/>
        <v>999</v>
      </c>
      <c r="J1670" s="141" t="s">
        <v>4327</v>
      </c>
      <c r="K1670" s="141">
        <v>1264</v>
      </c>
      <c r="L1670" s="141">
        <v>1</v>
      </c>
      <c r="M1670" s="141">
        <v>0</v>
      </c>
      <c r="N1670" s="141">
        <v>6000</v>
      </c>
      <c r="O1670" s="141" t="s">
        <v>4337</v>
      </c>
      <c r="P1670" s="141" t="s">
        <v>4795</v>
      </c>
    </row>
    <row r="1671" spans="1:16" ht="25.5">
      <c r="A1671" s="141">
        <v>76807</v>
      </c>
      <c r="B1671" s="141" t="s">
        <v>4325</v>
      </c>
      <c r="C1671" s="142">
        <v>41201</v>
      </c>
      <c r="D1671" s="141">
        <v>434</v>
      </c>
      <c r="E1671" s="141" t="str">
        <f t="shared" si="142"/>
        <v>001</v>
      </c>
      <c r="F1671" s="141" t="s">
        <v>4326</v>
      </c>
      <c r="G1671" s="141" t="str">
        <f>"1444"</f>
        <v>1444</v>
      </c>
      <c r="H1671" s="141" t="s">
        <v>1653</v>
      </c>
      <c r="I1671" s="141" t="str">
        <f t="shared" si="143"/>
        <v>999</v>
      </c>
      <c r="J1671" s="141" t="s">
        <v>4327</v>
      </c>
      <c r="K1671" s="141">
        <v>1265</v>
      </c>
      <c r="L1671" s="141">
        <v>1</v>
      </c>
      <c r="M1671" s="141">
        <v>0</v>
      </c>
      <c r="N1671" s="141">
        <v>6000</v>
      </c>
      <c r="O1671" s="141" t="s">
        <v>4407</v>
      </c>
      <c r="P1671" s="141"/>
    </row>
    <row r="1672" spans="1:16" ht="25.5">
      <c r="A1672" s="141">
        <v>76807</v>
      </c>
      <c r="B1672" s="141" t="s">
        <v>4325</v>
      </c>
      <c r="C1672" s="142">
        <v>41201</v>
      </c>
      <c r="D1672" s="141">
        <v>726</v>
      </c>
      <c r="E1672" s="141" t="str">
        <f t="shared" si="142"/>
        <v>001</v>
      </c>
      <c r="F1672" s="141" t="s">
        <v>4326</v>
      </c>
      <c r="G1672" s="141" t="str">
        <f>"1446"</f>
        <v>1446</v>
      </c>
      <c r="H1672" s="141" t="s">
        <v>2648</v>
      </c>
      <c r="I1672" s="141" t="str">
        <f t="shared" si="143"/>
        <v>999</v>
      </c>
      <c r="J1672" s="141" t="s">
        <v>4327</v>
      </c>
      <c r="K1672" s="141">
        <v>2235</v>
      </c>
      <c r="L1672" s="141">
        <v>1</v>
      </c>
      <c r="M1672" s="141">
        <v>0</v>
      </c>
      <c r="N1672" s="141">
        <v>14000</v>
      </c>
      <c r="O1672" s="141" t="s">
        <v>4328</v>
      </c>
      <c r="P1672" s="141" t="s">
        <v>4387</v>
      </c>
    </row>
    <row r="1673" spans="1:16" ht="25.5">
      <c r="A1673" s="141">
        <v>76807</v>
      </c>
      <c r="B1673" s="141" t="s">
        <v>4325</v>
      </c>
      <c r="C1673" s="142">
        <v>41201</v>
      </c>
      <c r="D1673" s="141">
        <v>726</v>
      </c>
      <c r="E1673" s="141" t="str">
        <f t="shared" si="142"/>
        <v>001</v>
      </c>
      <c r="F1673" s="141" t="s">
        <v>4326</v>
      </c>
      <c r="G1673" s="141" t="str">
        <f>"1446"</f>
        <v>1446</v>
      </c>
      <c r="H1673" s="141" t="s">
        <v>2648</v>
      </c>
      <c r="I1673" s="141" t="str">
        <f t="shared" si="143"/>
        <v>999</v>
      </c>
      <c r="J1673" s="141" t="s">
        <v>4327</v>
      </c>
      <c r="K1673" s="141">
        <v>2236</v>
      </c>
      <c r="L1673" s="141">
        <v>1</v>
      </c>
      <c r="M1673" s="141">
        <v>0</v>
      </c>
      <c r="N1673" s="141">
        <v>11000</v>
      </c>
      <c r="O1673" s="141" t="s">
        <v>4380</v>
      </c>
      <c r="P1673" s="141" t="s">
        <v>4524</v>
      </c>
    </row>
    <row r="1674" spans="1:16" ht="25.5">
      <c r="A1674" s="141">
        <v>76807</v>
      </c>
      <c r="B1674" s="141" t="s">
        <v>4325</v>
      </c>
      <c r="C1674" s="142">
        <v>41201</v>
      </c>
      <c r="D1674" s="141">
        <v>726</v>
      </c>
      <c r="E1674" s="141" t="str">
        <f t="shared" si="142"/>
        <v>001</v>
      </c>
      <c r="F1674" s="141" t="s">
        <v>4326</v>
      </c>
      <c r="G1674" s="141" t="str">
        <f>"1446"</f>
        <v>1446</v>
      </c>
      <c r="H1674" s="141" t="s">
        <v>2648</v>
      </c>
      <c r="I1674" s="141" t="str">
        <f t="shared" si="143"/>
        <v>999</v>
      </c>
      <c r="J1674" s="141" t="s">
        <v>4327</v>
      </c>
      <c r="K1674" s="141">
        <v>2237</v>
      </c>
      <c r="L1674" s="141">
        <v>1</v>
      </c>
      <c r="M1674" s="141">
        <v>0</v>
      </c>
      <c r="N1674" s="141">
        <v>5000</v>
      </c>
      <c r="O1674" s="141" t="s">
        <v>4649</v>
      </c>
      <c r="P1674" s="141"/>
    </row>
    <row r="1675" spans="1:16" ht="25.5">
      <c r="A1675" s="141">
        <v>76807</v>
      </c>
      <c r="B1675" s="141" t="s">
        <v>4325</v>
      </c>
      <c r="C1675" s="142">
        <v>41201</v>
      </c>
      <c r="D1675" s="141">
        <v>383</v>
      </c>
      <c r="E1675" s="141" t="str">
        <f t="shared" si="142"/>
        <v>001</v>
      </c>
      <c r="F1675" s="141" t="s">
        <v>4326</v>
      </c>
      <c r="G1675" s="141" t="str">
        <f>"1448"</f>
        <v>1448</v>
      </c>
      <c r="H1675" s="141" t="s">
        <v>4796</v>
      </c>
      <c r="I1675" s="141" t="str">
        <f t="shared" si="143"/>
        <v>999</v>
      </c>
      <c r="J1675" s="141" t="s">
        <v>4327</v>
      </c>
      <c r="K1675" s="141">
        <v>936</v>
      </c>
      <c r="L1675" s="141">
        <v>1</v>
      </c>
      <c r="M1675" s="141">
        <v>0</v>
      </c>
      <c r="N1675" s="141">
        <v>3000</v>
      </c>
      <c r="O1675" s="141" t="s">
        <v>4337</v>
      </c>
      <c r="P1675" s="141" t="s">
        <v>4389</v>
      </c>
    </row>
    <row r="1676" spans="1:16" ht="25.5">
      <c r="A1676" s="141">
        <v>76807</v>
      </c>
      <c r="B1676" s="141" t="s">
        <v>4325</v>
      </c>
      <c r="C1676" s="142">
        <v>41201</v>
      </c>
      <c r="D1676" s="141">
        <v>1176</v>
      </c>
      <c r="E1676" s="141" t="str">
        <f t="shared" si="142"/>
        <v>001</v>
      </c>
      <c r="F1676" s="141" t="s">
        <v>4326</v>
      </c>
      <c r="G1676" s="141" t="str">
        <f t="shared" ref="G1676:G1695" si="144">"1450"</f>
        <v>1450</v>
      </c>
      <c r="H1676" s="141" t="s">
        <v>1049</v>
      </c>
      <c r="I1676" s="141" t="str">
        <f t="shared" si="143"/>
        <v>999</v>
      </c>
      <c r="J1676" s="141" t="s">
        <v>4327</v>
      </c>
      <c r="K1676" s="141">
        <v>3087</v>
      </c>
      <c r="L1676" s="141">
        <v>2</v>
      </c>
      <c r="M1676" s="141">
        <v>0</v>
      </c>
      <c r="N1676" s="141">
        <v>1000</v>
      </c>
      <c r="O1676" s="141" t="s">
        <v>4403</v>
      </c>
      <c r="P1676" s="141"/>
    </row>
    <row r="1677" spans="1:16" ht="25.5">
      <c r="A1677" s="141">
        <v>76807</v>
      </c>
      <c r="B1677" s="141" t="s">
        <v>4325</v>
      </c>
      <c r="C1677" s="142">
        <v>41201</v>
      </c>
      <c r="D1677" s="141">
        <v>1176</v>
      </c>
      <c r="E1677" s="141" t="str">
        <f t="shared" si="142"/>
        <v>001</v>
      </c>
      <c r="F1677" s="141" t="s">
        <v>4326</v>
      </c>
      <c r="G1677" s="141" t="str">
        <f t="shared" si="144"/>
        <v>1450</v>
      </c>
      <c r="H1677" s="141" t="s">
        <v>1049</v>
      </c>
      <c r="I1677" s="141" t="str">
        <f t="shared" si="143"/>
        <v>999</v>
      </c>
      <c r="J1677" s="141" t="s">
        <v>4327</v>
      </c>
      <c r="K1677" s="141">
        <v>3088</v>
      </c>
      <c r="L1677" s="141">
        <v>1</v>
      </c>
      <c r="M1677" s="141">
        <v>0</v>
      </c>
      <c r="N1677" s="141">
        <v>1000</v>
      </c>
      <c r="O1677" s="141" t="s">
        <v>4344</v>
      </c>
      <c r="P1677" s="141"/>
    </row>
    <row r="1678" spans="1:16" ht="25.5">
      <c r="A1678" s="141">
        <v>76807</v>
      </c>
      <c r="B1678" s="141" t="s">
        <v>4325</v>
      </c>
      <c r="C1678" s="142">
        <v>41201</v>
      </c>
      <c r="D1678" s="141">
        <v>1176</v>
      </c>
      <c r="E1678" s="141" t="str">
        <f t="shared" si="142"/>
        <v>001</v>
      </c>
      <c r="F1678" s="141" t="s">
        <v>4326</v>
      </c>
      <c r="G1678" s="141" t="str">
        <f t="shared" si="144"/>
        <v>1450</v>
      </c>
      <c r="H1678" s="141" t="s">
        <v>1049</v>
      </c>
      <c r="I1678" s="141" t="str">
        <f t="shared" si="143"/>
        <v>999</v>
      </c>
      <c r="J1678" s="141" t="s">
        <v>4327</v>
      </c>
      <c r="K1678" s="141">
        <v>3089</v>
      </c>
      <c r="L1678" s="141">
        <v>2</v>
      </c>
      <c r="M1678" s="141">
        <v>0</v>
      </c>
      <c r="N1678" s="141">
        <v>6000</v>
      </c>
      <c r="O1678" s="141" t="s">
        <v>4409</v>
      </c>
      <c r="P1678" s="141" t="s">
        <v>4362</v>
      </c>
    </row>
    <row r="1679" spans="1:16" ht="25.5">
      <c r="A1679" s="141">
        <v>76807</v>
      </c>
      <c r="B1679" s="141" t="s">
        <v>4325</v>
      </c>
      <c r="C1679" s="142">
        <v>41201</v>
      </c>
      <c r="D1679" s="141">
        <v>1176</v>
      </c>
      <c r="E1679" s="141" t="str">
        <f t="shared" si="142"/>
        <v>001</v>
      </c>
      <c r="F1679" s="141" t="s">
        <v>4326</v>
      </c>
      <c r="G1679" s="141" t="str">
        <f t="shared" si="144"/>
        <v>1450</v>
      </c>
      <c r="H1679" s="141" t="s">
        <v>1049</v>
      </c>
      <c r="I1679" s="141" t="str">
        <f t="shared" si="143"/>
        <v>999</v>
      </c>
      <c r="J1679" s="141" t="s">
        <v>4327</v>
      </c>
      <c r="K1679" s="141">
        <v>3090</v>
      </c>
      <c r="L1679" s="141">
        <v>4</v>
      </c>
      <c r="M1679" s="141">
        <v>0</v>
      </c>
      <c r="N1679" s="141">
        <v>18000</v>
      </c>
      <c r="O1679" s="141" t="s">
        <v>4357</v>
      </c>
      <c r="P1679" s="141" t="s">
        <v>4362</v>
      </c>
    </row>
    <row r="1680" spans="1:16" ht="25.5">
      <c r="A1680" s="141">
        <v>76807</v>
      </c>
      <c r="B1680" s="141" t="s">
        <v>4325</v>
      </c>
      <c r="C1680" s="142">
        <v>41201</v>
      </c>
      <c r="D1680" s="141">
        <v>1176</v>
      </c>
      <c r="E1680" s="141" t="str">
        <f t="shared" si="142"/>
        <v>001</v>
      </c>
      <c r="F1680" s="141" t="s">
        <v>4326</v>
      </c>
      <c r="G1680" s="141" t="str">
        <f t="shared" si="144"/>
        <v>1450</v>
      </c>
      <c r="H1680" s="141" t="s">
        <v>1049</v>
      </c>
      <c r="I1680" s="141" t="str">
        <f t="shared" si="143"/>
        <v>999</v>
      </c>
      <c r="J1680" s="141" t="s">
        <v>4327</v>
      </c>
      <c r="K1680" s="141">
        <v>3091</v>
      </c>
      <c r="L1680" s="141">
        <v>2</v>
      </c>
      <c r="M1680" s="141">
        <v>0</v>
      </c>
      <c r="N1680" s="141">
        <v>8000</v>
      </c>
      <c r="O1680" s="141" t="s">
        <v>4357</v>
      </c>
      <c r="P1680" s="141" t="s">
        <v>4361</v>
      </c>
    </row>
    <row r="1681" spans="1:16" ht="25.5">
      <c r="A1681" s="141">
        <v>76807</v>
      </c>
      <c r="B1681" s="141" t="s">
        <v>4325</v>
      </c>
      <c r="C1681" s="142">
        <v>41201</v>
      </c>
      <c r="D1681" s="141">
        <v>1176</v>
      </c>
      <c r="E1681" s="141" t="str">
        <f t="shared" si="142"/>
        <v>001</v>
      </c>
      <c r="F1681" s="141" t="s">
        <v>4326</v>
      </c>
      <c r="G1681" s="141" t="str">
        <f t="shared" si="144"/>
        <v>1450</v>
      </c>
      <c r="H1681" s="141" t="s">
        <v>1049</v>
      </c>
      <c r="I1681" s="141" t="str">
        <f t="shared" si="143"/>
        <v>999</v>
      </c>
      <c r="J1681" s="141" t="s">
        <v>4327</v>
      </c>
      <c r="K1681" s="141">
        <v>3092</v>
      </c>
      <c r="L1681" s="141">
        <v>2</v>
      </c>
      <c r="M1681" s="141">
        <v>0</v>
      </c>
      <c r="N1681" s="141">
        <v>15000</v>
      </c>
      <c r="O1681" s="141" t="s">
        <v>4334</v>
      </c>
      <c r="P1681" s="141" t="s">
        <v>4360</v>
      </c>
    </row>
    <row r="1682" spans="1:16" ht="25.5">
      <c r="A1682" s="141">
        <v>76807</v>
      </c>
      <c r="B1682" s="141" t="s">
        <v>4325</v>
      </c>
      <c r="C1682" s="142">
        <v>41201</v>
      </c>
      <c r="D1682" s="141">
        <v>1176</v>
      </c>
      <c r="E1682" s="141" t="str">
        <f t="shared" si="142"/>
        <v>001</v>
      </c>
      <c r="F1682" s="141" t="s">
        <v>4326</v>
      </c>
      <c r="G1682" s="141" t="str">
        <f t="shared" si="144"/>
        <v>1450</v>
      </c>
      <c r="H1682" s="141" t="s">
        <v>1049</v>
      </c>
      <c r="I1682" s="141" t="str">
        <f t="shared" si="143"/>
        <v>999</v>
      </c>
      <c r="J1682" s="141" t="s">
        <v>4327</v>
      </c>
      <c r="K1682" s="141">
        <v>3093</v>
      </c>
      <c r="L1682" s="141">
        <v>2</v>
      </c>
      <c r="M1682" s="141">
        <v>0</v>
      </c>
      <c r="N1682" s="141">
        <v>22000</v>
      </c>
      <c r="O1682" s="141" t="s">
        <v>4334</v>
      </c>
      <c r="P1682" s="141" t="s">
        <v>4797</v>
      </c>
    </row>
    <row r="1683" spans="1:16" ht="25.5">
      <c r="A1683" s="141">
        <v>76807</v>
      </c>
      <c r="B1683" s="141" t="s">
        <v>4325</v>
      </c>
      <c r="C1683" s="142">
        <v>41201</v>
      </c>
      <c r="D1683" s="141">
        <v>1176</v>
      </c>
      <c r="E1683" s="141" t="str">
        <f t="shared" si="142"/>
        <v>001</v>
      </c>
      <c r="F1683" s="141" t="s">
        <v>4326</v>
      </c>
      <c r="G1683" s="141" t="str">
        <f t="shared" si="144"/>
        <v>1450</v>
      </c>
      <c r="H1683" s="141" t="s">
        <v>1049</v>
      </c>
      <c r="I1683" s="141" t="str">
        <f t="shared" si="143"/>
        <v>999</v>
      </c>
      <c r="J1683" s="141" t="s">
        <v>4327</v>
      </c>
      <c r="K1683" s="141">
        <v>3094</v>
      </c>
      <c r="L1683" s="141">
        <v>1</v>
      </c>
      <c r="M1683" s="141">
        <v>0</v>
      </c>
      <c r="N1683" s="141">
        <v>89000</v>
      </c>
      <c r="O1683" s="141" t="s">
        <v>4505</v>
      </c>
      <c r="P1683" s="141" t="s">
        <v>4367</v>
      </c>
    </row>
    <row r="1684" spans="1:16" ht="25.5">
      <c r="A1684" s="141">
        <v>76807</v>
      </c>
      <c r="B1684" s="141" t="s">
        <v>4325</v>
      </c>
      <c r="C1684" s="142">
        <v>41201</v>
      </c>
      <c r="D1684" s="141">
        <v>1176</v>
      </c>
      <c r="E1684" s="141" t="str">
        <f t="shared" si="142"/>
        <v>001</v>
      </c>
      <c r="F1684" s="141" t="s">
        <v>4326</v>
      </c>
      <c r="G1684" s="141" t="str">
        <f t="shared" si="144"/>
        <v>1450</v>
      </c>
      <c r="H1684" s="141" t="s">
        <v>1049</v>
      </c>
      <c r="I1684" s="141" t="str">
        <f t="shared" si="143"/>
        <v>999</v>
      </c>
      <c r="J1684" s="141" t="s">
        <v>4327</v>
      </c>
      <c r="K1684" s="141">
        <v>3095</v>
      </c>
      <c r="L1684" s="141">
        <v>1</v>
      </c>
      <c r="M1684" s="141">
        <v>0</v>
      </c>
      <c r="N1684" s="141">
        <v>30000</v>
      </c>
      <c r="O1684" s="141" t="s">
        <v>4458</v>
      </c>
      <c r="P1684" s="141" t="s">
        <v>4504</v>
      </c>
    </row>
    <row r="1685" spans="1:16" ht="25.5">
      <c r="A1685" s="141">
        <v>76807</v>
      </c>
      <c r="B1685" s="141" t="s">
        <v>4325</v>
      </c>
      <c r="C1685" s="142">
        <v>41201</v>
      </c>
      <c r="D1685" s="141">
        <v>1176</v>
      </c>
      <c r="E1685" s="141" t="str">
        <f t="shared" si="142"/>
        <v>001</v>
      </c>
      <c r="F1685" s="141" t="s">
        <v>4326</v>
      </c>
      <c r="G1685" s="141" t="str">
        <f t="shared" si="144"/>
        <v>1450</v>
      </c>
      <c r="H1685" s="141" t="s">
        <v>1049</v>
      </c>
      <c r="I1685" s="141" t="str">
        <f t="shared" si="143"/>
        <v>999</v>
      </c>
      <c r="J1685" s="141" t="s">
        <v>4327</v>
      </c>
      <c r="K1685" s="141">
        <v>3096</v>
      </c>
      <c r="L1685" s="141">
        <v>1</v>
      </c>
      <c r="M1685" s="141">
        <v>0</v>
      </c>
      <c r="N1685" s="141">
        <v>1000</v>
      </c>
      <c r="O1685" s="141" t="s">
        <v>4434</v>
      </c>
      <c r="P1685" s="141"/>
    </row>
    <row r="1686" spans="1:16" ht="25.5">
      <c r="A1686" s="141">
        <v>76807</v>
      </c>
      <c r="B1686" s="141" t="s">
        <v>4325</v>
      </c>
      <c r="C1686" s="142">
        <v>41201</v>
      </c>
      <c r="D1686" s="141">
        <v>1176</v>
      </c>
      <c r="E1686" s="141" t="str">
        <f t="shared" si="142"/>
        <v>001</v>
      </c>
      <c r="F1686" s="141" t="s">
        <v>4326</v>
      </c>
      <c r="G1686" s="141" t="str">
        <f t="shared" si="144"/>
        <v>1450</v>
      </c>
      <c r="H1686" s="141" t="s">
        <v>1049</v>
      </c>
      <c r="I1686" s="141" t="str">
        <f t="shared" si="143"/>
        <v>999</v>
      </c>
      <c r="J1686" s="141" t="s">
        <v>4327</v>
      </c>
      <c r="K1686" s="141">
        <v>3097</v>
      </c>
      <c r="L1686" s="141">
        <v>1</v>
      </c>
      <c r="M1686" s="141">
        <v>0</v>
      </c>
      <c r="N1686" s="141">
        <v>45000</v>
      </c>
      <c r="O1686" s="141" t="s">
        <v>4798</v>
      </c>
      <c r="P1686" s="141"/>
    </row>
    <row r="1687" spans="1:16" ht="25.5">
      <c r="A1687" s="141">
        <v>76807</v>
      </c>
      <c r="B1687" s="141" t="s">
        <v>4325</v>
      </c>
      <c r="C1687" s="142">
        <v>41201</v>
      </c>
      <c r="D1687" s="141">
        <v>1176</v>
      </c>
      <c r="E1687" s="141" t="str">
        <f t="shared" si="142"/>
        <v>001</v>
      </c>
      <c r="F1687" s="141" t="s">
        <v>4326</v>
      </c>
      <c r="G1687" s="141" t="str">
        <f t="shared" si="144"/>
        <v>1450</v>
      </c>
      <c r="H1687" s="141" t="s">
        <v>1049</v>
      </c>
      <c r="I1687" s="141" t="str">
        <f t="shared" si="143"/>
        <v>999</v>
      </c>
      <c r="J1687" s="141" t="s">
        <v>4327</v>
      </c>
      <c r="K1687" s="141">
        <v>3098</v>
      </c>
      <c r="L1687" s="141">
        <v>1</v>
      </c>
      <c r="M1687" s="141">
        <v>0</v>
      </c>
      <c r="N1687" s="141">
        <v>3000</v>
      </c>
      <c r="O1687" s="141" t="s">
        <v>4405</v>
      </c>
      <c r="P1687" s="141" t="s">
        <v>4372</v>
      </c>
    </row>
    <row r="1688" spans="1:16" ht="25.5">
      <c r="A1688" s="141">
        <v>76807</v>
      </c>
      <c r="B1688" s="141" t="s">
        <v>4325</v>
      </c>
      <c r="C1688" s="142">
        <v>41201</v>
      </c>
      <c r="D1688" s="141">
        <v>1176</v>
      </c>
      <c r="E1688" s="141" t="str">
        <f t="shared" si="142"/>
        <v>001</v>
      </c>
      <c r="F1688" s="141" t="s">
        <v>4326</v>
      </c>
      <c r="G1688" s="141" t="str">
        <f t="shared" si="144"/>
        <v>1450</v>
      </c>
      <c r="H1688" s="141" t="s">
        <v>1049</v>
      </c>
      <c r="I1688" s="141" t="str">
        <f t="shared" si="143"/>
        <v>999</v>
      </c>
      <c r="J1688" s="141" t="s">
        <v>4327</v>
      </c>
      <c r="K1688" s="141">
        <v>3099</v>
      </c>
      <c r="L1688" s="141">
        <v>1</v>
      </c>
      <c r="M1688" s="141">
        <v>0</v>
      </c>
      <c r="N1688" s="141">
        <v>3000</v>
      </c>
      <c r="O1688" s="141" t="s">
        <v>4405</v>
      </c>
      <c r="P1688" s="141" t="s">
        <v>4372</v>
      </c>
    </row>
    <row r="1689" spans="1:16" ht="25.5">
      <c r="A1689" s="141">
        <v>76807</v>
      </c>
      <c r="B1689" s="141" t="s">
        <v>4325</v>
      </c>
      <c r="C1689" s="142">
        <v>41201</v>
      </c>
      <c r="D1689" s="141">
        <v>1176</v>
      </c>
      <c r="E1689" s="141" t="str">
        <f t="shared" si="142"/>
        <v>001</v>
      </c>
      <c r="F1689" s="141" t="s">
        <v>4326</v>
      </c>
      <c r="G1689" s="141" t="str">
        <f t="shared" si="144"/>
        <v>1450</v>
      </c>
      <c r="H1689" s="141" t="s">
        <v>1049</v>
      </c>
      <c r="I1689" s="141" t="str">
        <f t="shared" si="143"/>
        <v>999</v>
      </c>
      <c r="J1689" s="141" t="s">
        <v>4327</v>
      </c>
      <c r="K1689" s="141">
        <v>3100</v>
      </c>
      <c r="L1689" s="141">
        <v>2</v>
      </c>
      <c r="M1689" s="141">
        <v>0</v>
      </c>
      <c r="N1689" s="141">
        <v>13000</v>
      </c>
      <c r="O1689" s="141" t="s">
        <v>4500</v>
      </c>
      <c r="P1689" s="141"/>
    </row>
    <row r="1690" spans="1:16" ht="25.5">
      <c r="A1690" s="141">
        <v>76807</v>
      </c>
      <c r="B1690" s="141" t="s">
        <v>4325</v>
      </c>
      <c r="C1690" s="142">
        <v>41201</v>
      </c>
      <c r="D1690" s="141">
        <v>1176</v>
      </c>
      <c r="E1690" s="141" t="str">
        <f t="shared" si="142"/>
        <v>001</v>
      </c>
      <c r="F1690" s="141" t="s">
        <v>4326</v>
      </c>
      <c r="G1690" s="141" t="str">
        <f t="shared" si="144"/>
        <v>1450</v>
      </c>
      <c r="H1690" s="141" t="s">
        <v>1049</v>
      </c>
      <c r="I1690" s="141" t="str">
        <f t="shared" si="143"/>
        <v>999</v>
      </c>
      <c r="J1690" s="141" t="s">
        <v>4327</v>
      </c>
      <c r="K1690" s="141">
        <v>3101</v>
      </c>
      <c r="L1690" s="141">
        <v>3</v>
      </c>
      <c r="M1690" s="141">
        <v>0</v>
      </c>
      <c r="N1690" s="141">
        <v>1000</v>
      </c>
      <c r="O1690" s="141" t="s">
        <v>4447</v>
      </c>
      <c r="P1690" s="141"/>
    </row>
    <row r="1691" spans="1:16" ht="25.5">
      <c r="A1691" s="141">
        <v>76807</v>
      </c>
      <c r="B1691" s="141" t="s">
        <v>4325</v>
      </c>
      <c r="C1691" s="142">
        <v>41201</v>
      </c>
      <c r="D1691" s="141">
        <v>1176</v>
      </c>
      <c r="E1691" s="141" t="str">
        <f t="shared" si="142"/>
        <v>001</v>
      </c>
      <c r="F1691" s="141" t="s">
        <v>4326</v>
      </c>
      <c r="G1691" s="141" t="str">
        <f t="shared" si="144"/>
        <v>1450</v>
      </c>
      <c r="H1691" s="141" t="s">
        <v>1049</v>
      </c>
      <c r="I1691" s="141" t="str">
        <f t="shared" si="143"/>
        <v>999</v>
      </c>
      <c r="J1691" s="141" t="s">
        <v>4327</v>
      </c>
      <c r="K1691" s="141">
        <v>3102</v>
      </c>
      <c r="L1691" s="141">
        <v>5</v>
      </c>
      <c r="M1691" s="141">
        <v>0</v>
      </c>
      <c r="N1691" s="141">
        <v>3000</v>
      </c>
      <c r="O1691" s="141" t="s">
        <v>4350</v>
      </c>
      <c r="P1691" s="141"/>
    </row>
    <row r="1692" spans="1:16" ht="25.5">
      <c r="A1692" s="141">
        <v>76807</v>
      </c>
      <c r="B1692" s="141" t="s">
        <v>4325</v>
      </c>
      <c r="C1692" s="142">
        <v>41201</v>
      </c>
      <c r="D1692" s="141">
        <v>1176</v>
      </c>
      <c r="E1692" s="141" t="str">
        <f t="shared" si="142"/>
        <v>001</v>
      </c>
      <c r="F1692" s="141" t="s">
        <v>4326</v>
      </c>
      <c r="G1692" s="141" t="str">
        <f t="shared" si="144"/>
        <v>1450</v>
      </c>
      <c r="H1692" s="141" t="s">
        <v>1049</v>
      </c>
      <c r="I1692" s="141" t="str">
        <f t="shared" si="143"/>
        <v>999</v>
      </c>
      <c r="J1692" s="141" t="s">
        <v>4327</v>
      </c>
      <c r="K1692" s="141">
        <v>3103</v>
      </c>
      <c r="L1692" s="141">
        <v>2</v>
      </c>
      <c r="M1692" s="141">
        <v>0</v>
      </c>
      <c r="N1692" s="141">
        <v>1000</v>
      </c>
      <c r="O1692" s="141" t="s">
        <v>4381</v>
      </c>
      <c r="P1692" s="141"/>
    </row>
    <row r="1693" spans="1:16" ht="25.5">
      <c r="A1693" s="141">
        <v>76807</v>
      </c>
      <c r="B1693" s="141" t="s">
        <v>4325</v>
      </c>
      <c r="C1693" s="142">
        <v>41201</v>
      </c>
      <c r="D1693" s="141">
        <v>1176</v>
      </c>
      <c r="E1693" s="141" t="str">
        <f t="shared" si="142"/>
        <v>001</v>
      </c>
      <c r="F1693" s="141" t="s">
        <v>4326</v>
      </c>
      <c r="G1693" s="141" t="str">
        <f t="shared" si="144"/>
        <v>1450</v>
      </c>
      <c r="H1693" s="141" t="s">
        <v>1049</v>
      </c>
      <c r="I1693" s="141" t="str">
        <f t="shared" si="143"/>
        <v>999</v>
      </c>
      <c r="J1693" s="141" t="s">
        <v>4327</v>
      </c>
      <c r="K1693" s="141">
        <v>3104</v>
      </c>
      <c r="L1693" s="141">
        <v>1</v>
      </c>
      <c r="M1693" s="141">
        <v>0</v>
      </c>
      <c r="N1693" s="141">
        <v>6000</v>
      </c>
      <c r="O1693" s="141" t="s">
        <v>4407</v>
      </c>
      <c r="P1693" s="141"/>
    </row>
    <row r="1694" spans="1:16" ht="25.5">
      <c r="A1694" s="141">
        <v>76807</v>
      </c>
      <c r="B1694" s="141" t="s">
        <v>4325</v>
      </c>
      <c r="C1694" s="142">
        <v>41201</v>
      </c>
      <c r="D1694" s="141">
        <v>1176</v>
      </c>
      <c r="E1694" s="141" t="str">
        <f t="shared" si="142"/>
        <v>001</v>
      </c>
      <c r="F1694" s="141" t="s">
        <v>4326</v>
      </c>
      <c r="G1694" s="141" t="str">
        <f t="shared" si="144"/>
        <v>1450</v>
      </c>
      <c r="H1694" s="141" t="s">
        <v>1049</v>
      </c>
      <c r="I1694" s="141" t="str">
        <f t="shared" si="143"/>
        <v>999</v>
      </c>
      <c r="J1694" s="141" t="s">
        <v>4327</v>
      </c>
      <c r="K1694" s="141">
        <v>3105</v>
      </c>
      <c r="L1694" s="141">
        <v>1</v>
      </c>
      <c r="M1694" s="141">
        <v>0</v>
      </c>
      <c r="N1694" s="141">
        <v>2000</v>
      </c>
      <c r="O1694" s="141" t="s">
        <v>4388</v>
      </c>
      <c r="P1694" s="141" t="s">
        <v>4799</v>
      </c>
    </row>
    <row r="1695" spans="1:16" ht="25.5">
      <c r="A1695" s="141">
        <v>76807</v>
      </c>
      <c r="B1695" s="141" t="s">
        <v>4325</v>
      </c>
      <c r="C1695" s="142">
        <v>41201</v>
      </c>
      <c r="D1695" s="141">
        <v>1176</v>
      </c>
      <c r="E1695" s="141" t="str">
        <f t="shared" si="142"/>
        <v>001</v>
      </c>
      <c r="F1695" s="141" t="s">
        <v>4326</v>
      </c>
      <c r="G1695" s="141" t="str">
        <f t="shared" si="144"/>
        <v>1450</v>
      </c>
      <c r="H1695" s="141" t="s">
        <v>1049</v>
      </c>
      <c r="I1695" s="141" t="str">
        <f t="shared" si="143"/>
        <v>999</v>
      </c>
      <c r="J1695" s="141" t="s">
        <v>4327</v>
      </c>
      <c r="K1695" s="141">
        <v>3106</v>
      </c>
      <c r="L1695" s="141">
        <v>1</v>
      </c>
      <c r="M1695" s="141">
        <v>0</v>
      </c>
      <c r="N1695" s="141">
        <v>18000</v>
      </c>
      <c r="O1695" s="141" t="s">
        <v>4337</v>
      </c>
      <c r="P1695" s="141" t="s">
        <v>4800</v>
      </c>
    </row>
    <row r="1696" spans="1:16" ht="25.5">
      <c r="A1696" s="141">
        <v>76807</v>
      </c>
      <c r="B1696" s="141" t="s">
        <v>4325</v>
      </c>
      <c r="C1696" s="142">
        <v>41201</v>
      </c>
      <c r="D1696" s="141">
        <v>362</v>
      </c>
      <c r="E1696" s="141" t="str">
        <f t="shared" si="142"/>
        <v>001</v>
      </c>
      <c r="F1696" s="141" t="s">
        <v>4326</v>
      </c>
      <c r="G1696" s="141" t="str">
        <f t="shared" ref="G1696:G1712" si="145">"1451"</f>
        <v>1451</v>
      </c>
      <c r="H1696" s="141" t="s">
        <v>2745</v>
      </c>
      <c r="I1696" s="141" t="str">
        <f t="shared" si="143"/>
        <v>999</v>
      </c>
      <c r="J1696" s="141" t="s">
        <v>4327</v>
      </c>
      <c r="K1696" s="141">
        <v>749</v>
      </c>
      <c r="L1696" s="141">
        <v>1</v>
      </c>
      <c r="M1696" s="141">
        <v>0</v>
      </c>
      <c r="N1696" s="141">
        <v>18000</v>
      </c>
      <c r="O1696" s="141" t="s">
        <v>4328</v>
      </c>
      <c r="P1696" s="141" t="s">
        <v>4801</v>
      </c>
    </row>
    <row r="1697" spans="1:16" ht="25.5">
      <c r="A1697" s="141">
        <v>76807</v>
      </c>
      <c r="B1697" s="141" t="s">
        <v>4325</v>
      </c>
      <c r="C1697" s="142">
        <v>41201</v>
      </c>
      <c r="D1697" s="141">
        <v>362</v>
      </c>
      <c r="E1697" s="141" t="str">
        <f t="shared" si="142"/>
        <v>001</v>
      </c>
      <c r="F1697" s="141" t="s">
        <v>4326</v>
      </c>
      <c r="G1697" s="141" t="str">
        <f t="shared" si="145"/>
        <v>1451</v>
      </c>
      <c r="H1697" s="141" t="s">
        <v>2745</v>
      </c>
      <c r="I1697" s="141" t="str">
        <f t="shared" si="143"/>
        <v>999</v>
      </c>
      <c r="J1697" s="141" t="s">
        <v>4327</v>
      </c>
      <c r="K1697" s="141">
        <v>750</v>
      </c>
      <c r="L1697" s="141">
        <v>1</v>
      </c>
      <c r="M1697" s="141">
        <v>0</v>
      </c>
      <c r="N1697" s="141">
        <v>19000</v>
      </c>
      <c r="O1697" s="141" t="s">
        <v>4388</v>
      </c>
      <c r="P1697" s="141" t="s">
        <v>4438</v>
      </c>
    </row>
    <row r="1698" spans="1:16" ht="25.5">
      <c r="A1698" s="141">
        <v>76807</v>
      </c>
      <c r="B1698" s="141" t="s">
        <v>4325</v>
      </c>
      <c r="C1698" s="142">
        <v>41201</v>
      </c>
      <c r="D1698" s="141">
        <v>362</v>
      </c>
      <c r="E1698" s="141" t="str">
        <f t="shared" si="142"/>
        <v>001</v>
      </c>
      <c r="F1698" s="141" t="s">
        <v>4326</v>
      </c>
      <c r="G1698" s="141" t="str">
        <f t="shared" si="145"/>
        <v>1451</v>
      </c>
      <c r="H1698" s="141" t="s">
        <v>2745</v>
      </c>
      <c r="I1698" s="141" t="str">
        <f t="shared" si="143"/>
        <v>999</v>
      </c>
      <c r="J1698" s="141" t="s">
        <v>4327</v>
      </c>
      <c r="K1698" s="141">
        <v>751</v>
      </c>
      <c r="L1698" s="141">
        <v>1</v>
      </c>
      <c r="M1698" s="141">
        <v>0</v>
      </c>
      <c r="N1698" s="141">
        <v>10000</v>
      </c>
      <c r="O1698" s="141" t="s">
        <v>4357</v>
      </c>
      <c r="P1698" s="141" t="s">
        <v>4608</v>
      </c>
    </row>
    <row r="1699" spans="1:16" ht="25.5">
      <c r="A1699" s="141">
        <v>76807</v>
      </c>
      <c r="B1699" s="141" t="s">
        <v>4325</v>
      </c>
      <c r="C1699" s="142">
        <v>41201</v>
      </c>
      <c r="D1699" s="141">
        <v>362</v>
      </c>
      <c r="E1699" s="141" t="str">
        <f t="shared" si="142"/>
        <v>001</v>
      </c>
      <c r="F1699" s="141" t="s">
        <v>4326</v>
      </c>
      <c r="G1699" s="141" t="str">
        <f t="shared" si="145"/>
        <v>1451</v>
      </c>
      <c r="H1699" s="141" t="s">
        <v>2745</v>
      </c>
      <c r="I1699" s="141" t="str">
        <f t="shared" si="143"/>
        <v>999</v>
      </c>
      <c r="J1699" s="141" t="s">
        <v>4327</v>
      </c>
      <c r="K1699" s="141">
        <v>752</v>
      </c>
      <c r="L1699" s="141">
        <v>4</v>
      </c>
      <c r="M1699" s="141">
        <v>0</v>
      </c>
      <c r="N1699" s="141">
        <v>36000</v>
      </c>
      <c r="O1699" s="141" t="s">
        <v>4357</v>
      </c>
      <c r="P1699" s="141" t="s">
        <v>4360</v>
      </c>
    </row>
    <row r="1700" spans="1:16" ht="25.5">
      <c r="A1700" s="141">
        <v>76807</v>
      </c>
      <c r="B1700" s="141" t="s">
        <v>4325</v>
      </c>
      <c r="C1700" s="142">
        <v>41201</v>
      </c>
      <c r="D1700" s="141">
        <v>362</v>
      </c>
      <c r="E1700" s="141" t="str">
        <f t="shared" si="142"/>
        <v>001</v>
      </c>
      <c r="F1700" s="141" t="s">
        <v>4326</v>
      </c>
      <c r="G1700" s="141" t="str">
        <f t="shared" si="145"/>
        <v>1451</v>
      </c>
      <c r="H1700" s="141" t="s">
        <v>2745</v>
      </c>
      <c r="I1700" s="141" t="str">
        <f t="shared" si="143"/>
        <v>999</v>
      </c>
      <c r="J1700" s="141" t="s">
        <v>4327</v>
      </c>
      <c r="K1700" s="141">
        <v>753</v>
      </c>
      <c r="L1700" s="141">
        <v>4</v>
      </c>
      <c r="M1700" s="141">
        <v>0</v>
      </c>
      <c r="N1700" s="141">
        <v>33000</v>
      </c>
      <c r="O1700" s="141" t="s">
        <v>4357</v>
      </c>
      <c r="P1700" s="141" t="s">
        <v>4561</v>
      </c>
    </row>
    <row r="1701" spans="1:16" ht="25.5">
      <c r="A1701" s="141">
        <v>76807</v>
      </c>
      <c r="B1701" s="141" t="s">
        <v>4325</v>
      </c>
      <c r="C1701" s="142">
        <v>41201</v>
      </c>
      <c r="D1701" s="141">
        <v>362</v>
      </c>
      <c r="E1701" s="141" t="str">
        <f t="shared" si="142"/>
        <v>001</v>
      </c>
      <c r="F1701" s="141" t="s">
        <v>4326</v>
      </c>
      <c r="G1701" s="141" t="str">
        <f t="shared" si="145"/>
        <v>1451</v>
      </c>
      <c r="H1701" s="141" t="s">
        <v>2745</v>
      </c>
      <c r="I1701" s="141" t="str">
        <f t="shared" si="143"/>
        <v>999</v>
      </c>
      <c r="J1701" s="141" t="s">
        <v>4327</v>
      </c>
      <c r="K1701" s="141">
        <v>754</v>
      </c>
      <c r="L1701" s="141">
        <v>1</v>
      </c>
      <c r="M1701" s="141">
        <v>0</v>
      </c>
      <c r="N1701" s="141">
        <v>6000</v>
      </c>
      <c r="O1701" s="141" t="s">
        <v>4540</v>
      </c>
      <c r="P1701" s="141"/>
    </row>
    <row r="1702" spans="1:16" ht="25.5">
      <c r="A1702" s="141">
        <v>76807</v>
      </c>
      <c r="B1702" s="141" t="s">
        <v>4325</v>
      </c>
      <c r="C1702" s="142">
        <v>41201</v>
      </c>
      <c r="D1702" s="141">
        <v>362</v>
      </c>
      <c r="E1702" s="141" t="str">
        <f t="shared" si="142"/>
        <v>001</v>
      </c>
      <c r="F1702" s="141" t="s">
        <v>4326</v>
      </c>
      <c r="G1702" s="141" t="str">
        <f t="shared" si="145"/>
        <v>1451</v>
      </c>
      <c r="H1702" s="141" t="s">
        <v>2745</v>
      </c>
      <c r="I1702" s="141" t="str">
        <f t="shared" si="143"/>
        <v>999</v>
      </c>
      <c r="J1702" s="141" t="s">
        <v>4327</v>
      </c>
      <c r="K1702" s="141">
        <v>755</v>
      </c>
      <c r="L1702" s="141">
        <v>1</v>
      </c>
      <c r="M1702" s="141">
        <v>0</v>
      </c>
      <c r="N1702" s="141">
        <v>2000</v>
      </c>
      <c r="O1702" s="141" t="s">
        <v>2487</v>
      </c>
      <c r="P1702" s="141"/>
    </row>
    <row r="1703" spans="1:16" ht="25.5">
      <c r="A1703" s="141">
        <v>76807</v>
      </c>
      <c r="B1703" s="141" t="s">
        <v>4325</v>
      </c>
      <c r="C1703" s="142">
        <v>41201</v>
      </c>
      <c r="D1703" s="141">
        <v>362</v>
      </c>
      <c r="E1703" s="141" t="str">
        <f t="shared" si="142"/>
        <v>001</v>
      </c>
      <c r="F1703" s="141" t="s">
        <v>4326</v>
      </c>
      <c r="G1703" s="141" t="str">
        <f t="shared" si="145"/>
        <v>1451</v>
      </c>
      <c r="H1703" s="141" t="s">
        <v>2745</v>
      </c>
      <c r="I1703" s="141" t="str">
        <f t="shared" si="143"/>
        <v>999</v>
      </c>
      <c r="J1703" s="141" t="s">
        <v>4327</v>
      </c>
      <c r="K1703" s="141">
        <v>756</v>
      </c>
      <c r="L1703" s="141">
        <v>1</v>
      </c>
      <c r="M1703" s="141">
        <v>0</v>
      </c>
      <c r="N1703" s="141">
        <v>20000</v>
      </c>
      <c r="O1703" s="141" t="s">
        <v>4670</v>
      </c>
      <c r="P1703" s="141"/>
    </row>
    <row r="1704" spans="1:16" ht="25.5">
      <c r="A1704" s="141">
        <v>76807</v>
      </c>
      <c r="B1704" s="141" t="s">
        <v>4325</v>
      </c>
      <c r="C1704" s="142">
        <v>41201</v>
      </c>
      <c r="D1704" s="141">
        <v>362</v>
      </c>
      <c r="E1704" s="141" t="str">
        <f t="shared" si="142"/>
        <v>001</v>
      </c>
      <c r="F1704" s="141" t="s">
        <v>4326</v>
      </c>
      <c r="G1704" s="141" t="str">
        <f t="shared" si="145"/>
        <v>1451</v>
      </c>
      <c r="H1704" s="141" t="s">
        <v>2745</v>
      </c>
      <c r="I1704" s="141" t="str">
        <f t="shared" si="143"/>
        <v>999</v>
      </c>
      <c r="J1704" s="141" t="s">
        <v>4327</v>
      </c>
      <c r="K1704" s="141">
        <v>757</v>
      </c>
      <c r="L1704" s="141">
        <v>1</v>
      </c>
      <c r="M1704" s="141">
        <v>0</v>
      </c>
      <c r="N1704" s="141">
        <v>26000</v>
      </c>
      <c r="O1704" s="141" t="s">
        <v>4722</v>
      </c>
      <c r="P1704" s="141"/>
    </row>
    <row r="1705" spans="1:16" ht="25.5">
      <c r="A1705" s="141">
        <v>76807</v>
      </c>
      <c r="B1705" s="141" t="s">
        <v>4325</v>
      </c>
      <c r="C1705" s="142">
        <v>41201</v>
      </c>
      <c r="D1705" s="141">
        <v>362</v>
      </c>
      <c r="E1705" s="141" t="str">
        <f t="shared" si="142"/>
        <v>001</v>
      </c>
      <c r="F1705" s="141" t="s">
        <v>4326</v>
      </c>
      <c r="G1705" s="141" t="str">
        <f t="shared" si="145"/>
        <v>1451</v>
      </c>
      <c r="H1705" s="141" t="s">
        <v>2745</v>
      </c>
      <c r="I1705" s="141" t="str">
        <f t="shared" si="143"/>
        <v>999</v>
      </c>
      <c r="J1705" s="141" t="s">
        <v>4327</v>
      </c>
      <c r="K1705" s="141">
        <v>758</v>
      </c>
      <c r="L1705" s="141">
        <v>1</v>
      </c>
      <c r="M1705" s="141">
        <v>0</v>
      </c>
      <c r="N1705" s="141">
        <v>3000</v>
      </c>
      <c r="O1705" s="141" t="s">
        <v>4405</v>
      </c>
      <c r="P1705" s="141" t="s">
        <v>4372</v>
      </c>
    </row>
    <row r="1706" spans="1:16" ht="25.5">
      <c r="A1706" s="141">
        <v>76807</v>
      </c>
      <c r="B1706" s="141" t="s">
        <v>4325</v>
      </c>
      <c r="C1706" s="142">
        <v>41201</v>
      </c>
      <c r="D1706" s="141">
        <v>362</v>
      </c>
      <c r="E1706" s="141" t="str">
        <f t="shared" si="142"/>
        <v>001</v>
      </c>
      <c r="F1706" s="141" t="s">
        <v>4326</v>
      </c>
      <c r="G1706" s="141" t="str">
        <f t="shared" si="145"/>
        <v>1451</v>
      </c>
      <c r="H1706" s="141" t="s">
        <v>2745</v>
      </c>
      <c r="I1706" s="141" t="str">
        <f t="shared" si="143"/>
        <v>999</v>
      </c>
      <c r="J1706" s="141" t="s">
        <v>4327</v>
      </c>
      <c r="K1706" s="141">
        <v>759</v>
      </c>
      <c r="L1706" s="141">
        <v>1</v>
      </c>
      <c r="M1706" s="141">
        <v>0</v>
      </c>
      <c r="N1706" s="141">
        <v>3000</v>
      </c>
      <c r="O1706" s="141" t="s">
        <v>4405</v>
      </c>
      <c r="P1706" s="141" t="s">
        <v>4372</v>
      </c>
    </row>
    <row r="1707" spans="1:16" ht="25.5">
      <c r="A1707" s="141">
        <v>76807</v>
      </c>
      <c r="B1707" s="141" t="s">
        <v>4325</v>
      </c>
      <c r="C1707" s="142">
        <v>41201</v>
      </c>
      <c r="D1707" s="141">
        <v>362</v>
      </c>
      <c r="E1707" s="141" t="str">
        <f t="shared" si="142"/>
        <v>001</v>
      </c>
      <c r="F1707" s="141" t="s">
        <v>4326</v>
      </c>
      <c r="G1707" s="141" t="str">
        <f t="shared" si="145"/>
        <v>1451</v>
      </c>
      <c r="H1707" s="141" t="s">
        <v>2745</v>
      </c>
      <c r="I1707" s="141" t="str">
        <f t="shared" si="143"/>
        <v>999</v>
      </c>
      <c r="J1707" s="141" t="s">
        <v>4327</v>
      </c>
      <c r="K1707" s="141">
        <v>760</v>
      </c>
      <c r="L1707" s="141">
        <v>1</v>
      </c>
      <c r="M1707" s="141">
        <v>0</v>
      </c>
      <c r="N1707" s="141">
        <v>3000</v>
      </c>
      <c r="O1707" s="141" t="s">
        <v>4405</v>
      </c>
      <c r="P1707" s="141" t="s">
        <v>4372</v>
      </c>
    </row>
    <row r="1708" spans="1:16" ht="25.5">
      <c r="A1708" s="141">
        <v>76807</v>
      </c>
      <c r="B1708" s="141" t="s">
        <v>4325</v>
      </c>
      <c r="C1708" s="142">
        <v>41201</v>
      </c>
      <c r="D1708" s="141">
        <v>362</v>
      </c>
      <c r="E1708" s="141" t="str">
        <f t="shared" si="142"/>
        <v>001</v>
      </c>
      <c r="F1708" s="141" t="s">
        <v>4326</v>
      </c>
      <c r="G1708" s="141" t="str">
        <f t="shared" si="145"/>
        <v>1451</v>
      </c>
      <c r="H1708" s="141" t="s">
        <v>2745</v>
      </c>
      <c r="I1708" s="141" t="str">
        <f t="shared" si="143"/>
        <v>999</v>
      </c>
      <c r="J1708" s="141" t="s">
        <v>4327</v>
      </c>
      <c r="K1708" s="141">
        <v>761</v>
      </c>
      <c r="L1708" s="141">
        <v>1</v>
      </c>
      <c r="M1708" s="141">
        <v>0</v>
      </c>
      <c r="N1708" s="141">
        <v>3000</v>
      </c>
      <c r="O1708" s="141" t="s">
        <v>4405</v>
      </c>
      <c r="P1708" s="141" t="s">
        <v>4372</v>
      </c>
    </row>
    <row r="1709" spans="1:16" ht="25.5">
      <c r="A1709" s="141">
        <v>76807</v>
      </c>
      <c r="B1709" s="141" t="s">
        <v>4325</v>
      </c>
      <c r="C1709" s="142">
        <v>41201</v>
      </c>
      <c r="D1709" s="141">
        <v>362</v>
      </c>
      <c r="E1709" s="141" t="str">
        <f t="shared" si="142"/>
        <v>001</v>
      </c>
      <c r="F1709" s="141" t="s">
        <v>4326</v>
      </c>
      <c r="G1709" s="141" t="str">
        <f t="shared" si="145"/>
        <v>1451</v>
      </c>
      <c r="H1709" s="141" t="s">
        <v>2745</v>
      </c>
      <c r="I1709" s="141" t="str">
        <f t="shared" si="143"/>
        <v>999</v>
      </c>
      <c r="J1709" s="141" t="s">
        <v>4327</v>
      </c>
      <c r="K1709" s="141">
        <v>762</v>
      </c>
      <c r="L1709" s="141">
        <v>1</v>
      </c>
      <c r="M1709" s="141">
        <v>0</v>
      </c>
      <c r="N1709" s="141">
        <v>3000</v>
      </c>
      <c r="O1709" s="141" t="s">
        <v>4405</v>
      </c>
      <c r="P1709" s="141" t="s">
        <v>4372</v>
      </c>
    </row>
    <row r="1710" spans="1:16" ht="25.5">
      <c r="A1710" s="141">
        <v>76807</v>
      </c>
      <c r="B1710" s="141" t="s">
        <v>4325</v>
      </c>
      <c r="C1710" s="142">
        <v>41201</v>
      </c>
      <c r="D1710" s="141">
        <v>362</v>
      </c>
      <c r="E1710" s="141" t="str">
        <f t="shared" si="142"/>
        <v>001</v>
      </c>
      <c r="F1710" s="141" t="s">
        <v>4326</v>
      </c>
      <c r="G1710" s="141" t="str">
        <f t="shared" si="145"/>
        <v>1451</v>
      </c>
      <c r="H1710" s="141" t="s">
        <v>2745</v>
      </c>
      <c r="I1710" s="141" t="str">
        <f t="shared" si="143"/>
        <v>999</v>
      </c>
      <c r="J1710" s="141" t="s">
        <v>4327</v>
      </c>
      <c r="K1710" s="141">
        <v>763</v>
      </c>
      <c r="L1710" s="141">
        <v>1</v>
      </c>
      <c r="M1710" s="141">
        <v>0</v>
      </c>
      <c r="N1710" s="141">
        <v>3000</v>
      </c>
      <c r="O1710" s="141" t="s">
        <v>4405</v>
      </c>
      <c r="P1710" s="141" t="s">
        <v>4372</v>
      </c>
    </row>
    <row r="1711" spans="1:16" ht="25.5">
      <c r="A1711" s="141">
        <v>76807</v>
      </c>
      <c r="B1711" s="141" t="s">
        <v>4325</v>
      </c>
      <c r="C1711" s="142">
        <v>41201</v>
      </c>
      <c r="D1711" s="141">
        <v>362</v>
      </c>
      <c r="E1711" s="141" t="str">
        <f t="shared" si="142"/>
        <v>001</v>
      </c>
      <c r="F1711" s="141" t="s">
        <v>4326</v>
      </c>
      <c r="G1711" s="141" t="str">
        <f t="shared" si="145"/>
        <v>1451</v>
      </c>
      <c r="H1711" s="141" t="s">
        <v>2745</v>
      </c>
      <c r="I1711" s="141" t="str">
        <f t="shared" si="143"/>
        <v>999</v>
      </c>
      <c r="J1711" s="141" t="s">
        <v>4327</v>
      </c>
      <c r="K1711" s="141">
        <v>764</v>
      </c>
      <c r="L1711" s="141">
        <v>1</v>
      </c>
      <c r="M1711" s="141">
        <v>0</v>
      </c>
      <c r="N1711" s="141">
        <v>3000</v>
      </c>
      <c r="O1711" s="141" t="s">
        <v>4405</v>
      </c>
      <c r="P1711" s="141" t="s">
        <v>4372</v>
      </c>
    </row>
    <row r="1712" spans="1:16" ht="25.5">
      <c r="A1712" s="141">
        <v>76807</v>
      </c>
      <c r="B1712" s="141" t="s">
        <v>4325</v>
      </c>
      <c r="C1712" s="142">
        <v>41201</v>
      </c>
      <c r="D1712" s="141">
        <v>362</v>
      </c>
      <c r="E1712" s="141" t="str">
        <f t="shared" si="142"/>
        <v>001</v>
      </c>
      <c r="F1712" s="141" t="s">
        <v>4326</v>
      </c>
      <c r="G1712" s="141" t="str">
        <f t="shared" si="145"/>
        <v>1451</v>
      </c>
      <c r="H1712" s="141" t="s">
        <v>2745</v>
      </c>
      <c r="I1712" s="141" t="str">
        <f t="shared" si="143"/>
        <v>999</v>
      </c>
      <c r="J1712" s="141" t="s">
        <v>4327</v>
      </c>
      <c r="K1712" s="141">
        <v>765</v>
      </c>
      <c r="L1712" s="141">
        <v>2</v>
      </c>
      <c r="M1712" s="141">
        <v>0</v>
      </c>
      <c r="N1712" s="141">
        <v>9000</v>
      </c>
      <c r="O1712" s="141" t="s">
        <v>4406</v>
      </c>
      <c r="P1712" s="141"/>
    </row>
    <row r="1713" spans="1:16" ht="25.5">
      <c r="A1713" s="141">
        <v>76807</v>
      </c>
      <c r="B1713" s="141" t="s">
        <v>4325</v>
      </c>
      <c r="C1713" s="142">
        <v>41201</v>
      </c>
      <c r="D1713" s="141">
        <v>413</v>
      </c>
      <c r="E1713" s="141" t="str">
        <f t="shared" si="142"/>
        <v>001</v>
      </c>
      <c r="F1713" s="141" t="s">
        <v>4326</v>
      </c>
      <c r="G1713" s="141" t="str">
        <f>"1454"</f>
        <v>1454</v>
      </c>
      <c r="H1713" s="141" t="s">
        <v>1654</v>
      </c>
      <c r="I1713" s="141" t="str">
        <f t="shared" si="143"/>
        <v>999</v>
      </c>
      <c r="J1713" s="141" t="s">
        <v>4327</v>
      </c>
      <c r="K1713" s="141">
        <v>1128</v>
      </c>
      <c r="L1713" s="141">
        <v>35</v>
      </c>
      <c r="M1713" s="141">
        <v>0</v>
      </c>
      <c r="N1713" s="141">
        <v>103000</v>
      </c>
      <c r="O1713" s="141" t="s">
        <v>4357</v>
      </c>
      <c r="P1713" s="141" t="s">
        <v>4340</v>
      </c>
    </row>
    <row r="1714" spans="1:16" ht="25.5">
      <c r="A1714" s="141">
        <v>76807</v>
      </c>
      <c r="B1714" s="141" t="s">
        <v>4325</v>
      </c>
      <c r="C1714" s="142">
        <v>41201</v>
      </c>
      <c r="D1714" s="141">
        <v>413</v>
      </c>
      <c r="E1714" s="141" t="str">
        <f t="shared" si="142"/>
        <v>001</v>
      </c>
      <c r="F1714" s="141" t="s">
        <v>4326</v>
      </c>
      <c r="G1714" s="141" t="str">
        <f>"1454"</f>
        <v>1454</v>
      </c>
      <c r="H1714" s="141" t="s">
        <v>1654</v>
      </c>
      <c r="I1714" s="141" t="str">
        <f t="shared" si="143"/>
        <v>999</v>
      </c>
      <c r="J1714" s="141" t="s">
        <v>4327</v>
      </c>
      <c r="K1714" s="141">
        <v>1129</v>
      </c>
      <c r="L1714" s="141">
        <v>1</v>
      </c>
      <c r="M1714" s="141">
        <v>0</v>
      </c>
      <c r="N1714" s="141">
        <v>16000</v>
      </c>
      <c r="O1714" s="141" t="s">
        <v>4337</v>
      </c>
      <c r="P1714" s="141" t="s">
        <v>4469</v>
      </c>
    </row>
    <row r="1715" spans="1:16" ht="25.5">
      <c r="A1715" s="141">
        <v>76807</v>
      </c>
      <c r="B1715" s="141" t="s">
        <v>4325</v>
      </c>
      <c r="C1715" s="142">
        <v>41201</v>
      </c>
      <c r="D1715" s="141">
        <v>413</v>
      </c>
      <c r="E1715" s="141" t="str">
        <f t="shared" si="142"/>
        <v>001</v>
      </c>
      <c r="F1715" s="141" t="s">
        <v>4326</v>
      </c>
      <c r="G1715" s="141" t="str">
        <f>"1454"</f>
        <v>1454</v>
      </c>
      <c r="H1715" s="141" t="s">
        <v>1654</v>
      </c>
      <c r="I1715" s="141" t="str">
        <f t="shared" si="143"/>
        <v>999</v>
      </c>
      <c r="J1715" s="141" t="s">
        <v>4327</v>
      </c>
      <c r="K1715" s="141">
        <v>1130</v>
      </c>
      <c r="L1715" s="141">
        <v>27</v>
      </c>
      <c r="M1715" s="141">
        <v>0</v>
      </c>
      <c r="N1715" s="141">
        <v>19000</v>
      </c>
      <c r="O1715" s="141" t="s">
        <v>4343</v>
      </c>
      <c r="P1715" s="141"/>
    </row>
    <row r="1716" spans="1:16" ht="25.5">
      <c r="A1716" s="141">
        <v>76807</v>
      </c>
      <c r="B1716" s="141" t="s">
        <v>4325</v>
      </c>
      <c r="C1716" s="142">
        <v>41201</v>
      </c>
      <c r="D1716" s="141">
        <v>413</v>
      </c>
      <c r="E1716" s="141" t="str">
        <f t="shared" si="142"/>
        <v>001</v>
      </c>
      <c r="F1716" s="141" t="s">
        <v>4326</v>
      </c>
      <c r="G1716" s="141" t="str">
        <f>"1454"</f>
        <v>1454</v>
      </c>
      <c r="H1716" s="141" t="s">
        <v>1654</v>
      </c>
      <c r="I1716" s="141" t="str">
        <f t="shared" si="143"/>
        <v>999</v>
      </c>
      <c r="J1716" s="141" t="s">
        <v>4327</v>
      </c>
      <c r="K1716" s="141">
        <v>1131</v>
      </c>
      <c r="L1716" s="141">
        <v>50</v>
      </c>
      <c r="M1716" s="141">
        <v>0</v>
      </c>
      <c r="N1716" s="141">
        <v>28000</v>
      </c>
      <c r="O1716" s="141" t="s">
        <v>4350</v>
      </c>
      <c r="P1716" s="141"/>
    </row>
    <row r="1717" spans="1:16" ht="25.5">
      <c r="A1717" s="141">
        <v>76807</v>
      </c>
      <c r="B1717" s="141" t="s">
        <v>4325</v>
      </c>
      <c r="C1717" s="142">
        <v>41201</v>
      </c>
      <c r="D1717" s="141">
        <v>384</v>
      </c>
      <c r="E1717" s="141" t="str">
        <f t="shared" si="142"/>
        <v>001</v>
      </c>
      <c r="F1717" s="141" t="s">
        <v>4326</v>
      </c>
      <c r="G1717" s="141" t="str">
        <f>"1456"</f>
        <v>1456</v>
      </c>
      <c r="H1717" s="141" t="s">
        <v>4802</v>
      </c>
      <c r="I1717" s="141" t="str">
        <f t="shared" si="143"/>
        <v>999</v>
      </c>
      <c r="J1717" s="141" t="s">
        <v>4327</v>
      </c>
      <c r="K1717" s="141">
        <v>943</v>
      </c>
      <c r="L1717" s="141">
        <v>1</v>
      </c>
      <c r="M1717" s="141">
        <v>0</v>
      </c>
      <c r="N1717" s="141">
        <v>13000</v>
      </c>
      <c r="O1717" s="141" t="s">
        <v>4328</v>
      </c>
      <c r="P1717" s="141" t="s">
        <v>4466</v>
      </c>
    </row>
    <row r="1718" spans="1:16" ht="25.5">
      <c r="A1718" s="141">
        <v>76807</v>
      </c>
      <c r="B1718" s="141" t="s">
        <v>4325</v>
      </c>
      <c r="C1718" s="142">
        <v>41201</v>
      </c>
      <c r="D1718" s="141">
        <v>384</v>
      </c>
      <c r="E1718" s="141" t="str">
        <f t="shared" si="142"/>
        <v>001</v>
      </c>
      <c r="F1718" s="141" t="s">
        <v>4326</v>
      </c>
      <c r="G1718" s="141" t="str">
        <f>"1456"</f>
        <v>1456</v>
      </c>
      <c r="H1718" s="141" t="s">
        <v>4802</v>
      </c>
      <c r="I1718" s="141" t="str">
        <f t="shared" si="143"/>
        <v>999</v>
      </c>
      <c r="J1718" s="141" t="s">
        <v>4327</v>
      </c>
      <c r="K1718" s="141">
        <v>944</v>
      </c>
      <c r="L1718" s="141">
        <v>25</v>
      </c>
      <c r="M1718" s="141">
        <v>0</v>
      </c>
      <c r="N1718" s="141">
        <v>43000</v>
      </c>
      <c r="O1718" s="141" t="s">
        <v>4357</v>
      </c>
      <c r="P1718" s="141" t="s">
        <v>4363</v>
      </c>
    </row>
    <row r="1719" spans="1:16" ht="25.5">
      <c r="A1719" s="141">
        <v>76807</v>
      </c>
      <c r="B1719" s="141" t="s">
        <v>4325</v>
      </c>
      <c r="C1719" s="142">
        <v>41201</v>
      </c>
      <c r="D1719" s="141">
        <v>384</v>
      </c>
      <c r="E1719" s="141" t="str">
        <f t="shared" si="142"/>
        <v>001</v>
      </c>
      <c r="F1719" s="141" t="s">
        <v>4326</v>
      </c>
      <c r="G1719" s="141" t="str">
        <f>"1456"</f>
        <v>1456</v>
      </c>
      <c r="H1719" s="141" t="s">
        <v>4802</v>
      </c>
      <c r="I1719" s="141" t="str">
        <f t="shared" si="143"/>
        <v>999</v>
      </c>
      <c r="J1719" s="141" t="s">
        <v>4327</v>
      </c>
      <c r="K1719" s="141">
        <v>949</v>
      </c>
      <c r="L1719" s="141">
        <v>1</v>
      </c>
      <c r="M1719" s="141">
        <v>0</v>
      </c>
      <c r="N1719" s="141">
        <v>6000</v>
      </c>
      <c r="O1719" s="141" t="s">
        <v>4353</v>
      </c>
      <c r="P1719" s="141" t="s">
        <v>4714</v>
      </c>
    </row>
    <row r="1720" spans="1:16" ht="25.5">
      <c r="A1720" s="141">
        <v>76807</v>
      </c>
      <c r="B1720" s="141" t="s">
        <v>4325</v>
      </c>
      <c r="C1720" s="142">
        <v>41201</v>
      </c>
      <c r="D1720" s="141">
        <v>384</v>
      </c>
      <c r="E1720" s="141" t="str">
        <f t="shared" si="142"/>
        <v>001</v>
      </c>
      <c r="F1720" s="141" t="s">
        <v>4326</v>
      </c>
      <c r="G1720" s="141" t="str">
        <f>"1456"</f>
        <v>1456</v>
      </c>
      <c r="H1720" s="141" t="s">
        <v>4802</v>
      </c>
      <c r="I1720" s="141" t="str">
        <f t="shared" si="143"/>
        <v>999</v>
      </c>
      <c r="J1720" s="141" t="s">
        <v>4327</v>
      </c>
      <c r="K1720" s="141">
        <v>950</v>
      </c>
      <c r="L1720" s="141">
        <v>1</v>
      </c>
      <c r="M1720" s="141">
        <v>0</v>
      </c>
      <c r="N1720" s="141">
        <v>6000</v>
      </c>
      <c r="O1720" s="141" t="s">
        <v>4353</v>
      </c>
      <c r="P1720" s="141" t="s">
        <v>4714</v>
      </c>
    </row>
    <row r="1721" spans="1:16" ht="25.5">
      <c r="A1721" s="141">
        <v>76807</v>
      </c>
      <c r="B1721" s="141" t="s">
        <v>4325</v>
      </c>
      <c r="C1721" s="142">
        <v>41201</v>
      </c>
      <c r="D1721" s="141">
        <v>384</v>
      </c>
      <c r="E1721" s="141" t="str">
        <f t="shared" si="142"/>
        <v>001</v>
      </c>
      <c r="F1721" s="141" t="s">
        <v>4326</v>
      </c>
      <c r="G1721" s="141" t="str">
        <f>"1456"</f>
        <v>1456</v>
      </c>
      <c r="H1721" s="141" t="s">
        <v>4802</v>
      </c>
      <c r="I1721" s="141" t="str">
        <f t="shared" si="143"/>
        <v>999</v>
      </c>
      <c r="J1721" s="141" t="s">
        <v>4327</v>
      </c>
      <c r="K1721" s="141">
        <v>951</v>
      </c>
      <c r="L1721" s="141">
        <v>1</v>
      </c>
      <c r="M1721" s="141">
        <v>0</v>
      </c>
      <c r="N1721" s="141">
        <v>6000</v>
      </c>
      <c r="O1721" s="141" t="s">
        <v>4353</v>
      </c>
      <c r="P1721" s="141" t="s">
        <v>4714</v>
      </c>
    </row>
    <row r="1722" spans="1:16" ht="25.5">
      <c r="A1722" s="141">
        <v>76807</v>
      </c>
      <c r="B1722" s="141" t="s">
        <v>4325</v>
      </c>
      <c r="C1722" s="142">
        <v>41201</v>
      </c>
      <c r="D1722" s="141">
        <v>1275</v>
      </c>
      <c r="E1722" s="141" t="str">
        <f t="shared" si="142"/>
        <v>001</v>
      </c>
      <c r="F1722" s="141" t="s">
        <v>4326</v>
      </c>
      <c r="G1722" s="141" t="str">
        <f>"1458"</f>
        <v>1458</v>
      </c>
      <c r="H1722" s="141" t="s">
        <v>4803</v>
      </c>
      <c r="I1722" s="141" t="str">
        <f t="shared" si="143"/>
        <v>999</v>
      </c>
      <c r="J1722" s="141" t="s">
        <v>4327</v>
      </c>
      <c r="K1722" s="141">
        <v>3385</v>
      </c>
      <c r="L1722" s="141">
        <v>1</v>
      </c>
      <c r="M1722" s="141">
        <v>0</v>
      </c>
      <c r="N1722" s="141">
        <v>406000</v>
      </c>
      <c r="O1722" s="141" t="s">
        <v>4327</v>
      </c>
      <c r="P1722" s="141"/>
    </row>
    <row r="1723" spans="1:16" ht="25.5">
      <c r="A1723" s="141">
        <v>76807</v>
      </c>
      <c r="B1723" s="141" t="s">
        <v>4325</v>
      </c>
      <c r="C1723" s="142">
        <v>41201</v>
      </c>
      <c r="D1723" s="141">
        <v>386</v>
      </c>
      <c r="E1723" s="141" t="str">
        <f t="shared" si="142"/>
        <v>001</v>
      </c>
      <c r="F1723" s="141" t="s">
        <v>4326</v>
      </c>
      <c r="G1723" s="141" t="str">
        <f>"1461"</f>
        <v>1461</v>
      </c>
      <c r="H1723" s="141" t="s">
        <v>4804</v>
      </c>
      <c r="I1723" s="141" t="str">
        <f t="shared" si="143"/>
        <v>999</v>
      </c>
      <c r="J1723" s="141" t="s">
        <v>4327</v>
      </c>
      <c r="K1723" s="141">
        <v>984</v>
      </c>
      <c r="L1723" s="141">
        <v>1</v>
      </c>
      <c r="M1723" s="141">
        <v>0</v>
      </c>
      <c r="N1723" s="141">
        <v>9000</v>
      </c>
      <c r="O1723" s="141" t="s">
        <v>4337</v>
      </c>
      <c r="P1723" s="141" t="s">
        <v>4428</v>
      </c>
    </row>
    <row r="1724" spans="1:16" ht="25.5">
      <c r="A1724" s="141">
        <v>76807</v>
      </c>
      <c r="B1724" s="141" t="s">
        <v>4325</v>
      </c>
      <c r="C1724" s="142">
        <v>41201</v>
      </c>
      <c r="D1724" s="141">
        <v>386</v>
      </c>
      <c r="E1724" s="141" t="str">
        <f t="shared" si="142"/>
        <v>001</v>
      </c>
      <c r="F1724" s="141" t="s">
        <v>4326</v>
      </c>
      <c r="G1724" s="141" t="str">
        <f>"1461"</f>
        <v>1461</v>
      </c>
      <c r="H1724" s="141" t="s">
        <v>4804</v>
      </c>
      <c r="I1724" s="141" t="str">
        <f t="shared" si="143"/>
        <v>999</v>
      </c>
      <c r="J1724" s="141" t="s">
        <v>4327</v>
      </c>
      <c r="K1724" s="141">
        <v>985</v>
      </c>
      <c r="L1724" s="141">
        <v>6</v>
      </c>
      <c r="M1724" s="141">
        <v>0</v>
      </c>
      <c r="N1724" s="141">
        <v>99000</v>
      </c>
      <c r="O1724" s="141" t="s">
        <v>4334</v>
      </c>
      <c r="P1724" s="141" t="s">
        <v>4611</v>
      </c>
    </row>
    <row r="1725" spans="1:16" ht="25.5">
      <c r="A1725" s="141">
        <v>76807</v>
      </c>
      <c r="B1725" s="141" t="s">
        <v>4325</v>
      </c>
      <c r="C1725" s="142">
        <v>41201</v>
      </c>
      <c r="D1725" s="141">
        <v>386</v>
      </c>
      <c r="E1725" s="141" t="str">
        <f t="shared" si="142"/>
        <v>001</v>
      </c>
      <c r="F1725" s="141" t="s">
        <v>4326</v>
      </c>
      <c r="G1725" s="141" t="str">
        <f>"1461"</f>
        <v>1461</v>
      </c>
      <c r="H1725" s="141" t="s">
        <v>4804</v>
      </c>
      <c r="I1725" s="141" t="str">
        <f t="shared" si="143"/>
        <v>999</v>
      </c>
      <c r="J1725" s="141" t="s">
        <v>4327</v>
      </c>
      <c r="K1725" s="141">
        <v>986</v>
      </c>
      <c r="L1725" s="141">
        <v>1</v>
      </c>
      <c r="M1725" s="141">
        <v>0</v>
      </c>
      <c r="N1725" s="141">
        <v>10000</v>
      </c>
      <c r="O1725" s="141" t="s">
        <v>4399</v>
      </c>
      <c r="P1725" s="141" t="s">
        <v>4805</v>
      </c>
    </row>
    <row r="1726" spans="1:16" ht="25.5">
      <c r="A1726" s="141">
        <v>76807</v>
      </c>
      <c r="B1726" s="141" t="s">
        <v>4325</v>
      </c>
      <c r="C1726" s="142">
        <v>41201</v>
      </c>
      <c r="D1726" s="141">
        <v>360</v>
      </c>
      <c r="E1726" s="141" t="str">
        <f t="shared" si="142"/>
        <v>001</v>
      </c>
      <c r="F1726" s="141" t="s">
        <v>4326</v>
      </c>
      <c r="G1726" s="141" t="str">
        <f t="shared" ref="G1726:G1733" si="146">"1463"</f>
        <v>1463</v>
      </c>
      <c r="H1726" s="141" t="s">
        <v>2999</v>
      </c>
      <c r="I1726" s="141" t="str">
        <f t="shared" si="143"/>
        <v>999</v>
      </c>
      <c r="J1726" s="141" t="s">
        <v>4327</v>
      </c>
      <c r="K1726" s="141">
        <v>716</v>
      </c>
      <c r="L1726" s="141">
        <v>1</v>
      </c>
      <c r="M1726" s="141">
        <v>0</v>
      </c>
      <c r="N1726" s="141">
        <v>3000</v>
      </c>
      <c r="O1726" s="141" t="s">
        <v>4330</v>
      </c>
      <c r="P1726" s="141" t="s">
        <v>4705</v>
      </c>
    </row>
    <row r="1727" spans="1:16" ht="25.5">
      <c r="A1727" s="141">
        <v>76807</v>
      </c>
      <c r="B1727" s="141" t="s">
        <v>4325</v>
      </c>
      <c r="C1727" s="142">
        <v>41201</v>
      </c>
      <c r="D1727" s="141">
        <v>360</v>
      </c>
      <c r="E1727" s="141" t="str">
        <f t="shared" si="142"/>
        <v>001</v>
      </c>
      <c r="F1727" s="141" t="s">
        <v>4326</v>
      </c>
      <c r="G1727" s="141" t="str">
        <f t="shared" si="146"/>
        <v>1463</v>
      </c>
      <c r="H1727" s="141" t="s">
        <v>2999</v>
      </c>
      <c r="I1727" s="141" t="str">
        <f t="shared" si="143"/>
        <v>999</v>
      </c>
      <c r="J1727" s="141" t="s">
        <v>4327</v>
      </c>
      <c r="K1727" s="141">
        <v>717</v>
      </c>
      <c r="L1727" s="141">
        <v>1</v>
      </c>
      <c r="M1727" s="141">
        <v>0</v>
      </c>
      <c r="N1727" s="141">
        <v>9000</v>
      </c>
      <c r="O1727" s="141" t="s">
        <v>4337</v>
      </c>
      <c r="P1727" s="141" t="s">
        <v>4806</v>
      </c>
    </row>
    <row r="1728" spans="1:16" ht="25.5">
      <c r="A1728" s="141">
        <v>76807</v>
      </c>
      <c r="B1728" s="141" t="s">
        <v>4325</v>
      </c>
      <c r="C1728" s="142">
        <v>41201</v>
      </c>
      <c r="D1728" s="141">
        <v>360</v>
      </c>
      <c r="E1728" s="141" t="str">
        <f t="shared" si="142"/>
        <v>001</v>
      </c>
      <c r="F1728" s="141" t="s">
        <v>4326</v>
      </c>
      <c r="G1728" s="141" t="str">
        <f t="shared" si="146"/>
        <v>1463</v>
      </c>
      <c r="H1728" s="141" t="s">
        <v>2999</v>
      </c>
      <c r="I1728" s="141" t="str">
        <f t="shared" si="143"/>
        <v>999</v>
      </c>
      <c r="J1728" s="141" t="s">
        <v>4327</v>
      </c>
      <c r="K1728" s="141">
        <v>718</v>
      </c>
      <c r="L1728" s="141">
        <v>1</v>
      </c>
      <c r="M1728" s="141">
        <v>0</v>
      </c>
      <c r="N1728" s="141">
        <v>112000</v>
      </c>
      <c r="O1728" s="141" t="s">
        <v>4366</v>
      </c>
      <c r="P1728" s="141" t="s">
        <v>4367</v>
      </c>
    </row>
    <row r="1729" spans="1:16" ht="25.5">
      <c r="A1729" s="141">
        <v>76807</v>
      </c>
      <c r="B1729" s="141" t="s">
        <v>4325</v>
      </c>
      <c r="C1729" s="142">
        <v>41201</v>
      </c>
      <c r="D1729" s="141">
        <v>360</v>
      </c>
      <c r="E1729" s="141" t="str">
        <f t="shared" si="142"/>
        <v>001</v>
      </c>
      <c r="F1729" s="141" t="s">
        <v>4326</v>
      </c>
      <c r="G1729" s="141" t="str">
        <f t="shared" si="146"/>
        <v>1463</v>
      </c>
      <c r="H1729" s="141" t="s">
        <v>2999</v>
      </c>
      <c r="I1729" s="141" t="str">
        <f t="shared" si="143"/>
        <v>999</v>
      </c>
      <c r="J1729" s="141" t="s">
        <v>4327</v>
      </c>
      <c r="K1729" s="141">
        <v>719</v>
      </c>
      <c r="L1729" s="141">
        <v>1</v>
      </c>
      <c r="M1729" s="141">
        <v>0</v>
      </c>
      <c r="N1729" s="141">
        <v>4000</v>
      </c>
      <c r="O1729" s="141" t="s">
        <v>4807</v>
      </c>
      <c r="P1729" s="141"/>
    </row>
    <row r="1730" spans="1:16" ht="25.5">
      <c r="A1730" s="141">
        <v>76807</v>
      </c>
      <c r="B1730" s="141" t="s">
        <v>4325</v>
      </c>
      <c r="C1730" s="142">
        <v>41201</v>
      </c>
      <c r="D1730" s="141">
        <v>360</v>
      </c>
      <c r="E1730" s="141" t="str">
        <f t="shared" ref="E1730:E1793" si="147">"001"</f>
        <v>001</v>
      </c>
      <c r="F1730" s="141" t="s">
        <v>4326</v>
      </c>
      <c r="G1730" s="141" t="str">
        <f t="shared" si="146"/>
        <v>1463</v>
      </c>
      <c r="H1730" s="141" t="s">
        <v>2999</v>
      </c>
      <c r="I1730" s="141" t="str">
        <f t="shared" ref="I1730:I1793" si="148">"999"</f>
        <v>999</v>
      </c>
      <c r="J1730" s="141" t="s">
        <v>4327</v>
      </c>
      <c r="K1730" s="141">
        <v>720</v>
      </c>
      <c r="L1730" s="141">
        <v>2</v>
      </c>
      <c r="M1730" s="141">
        <v>0</v>
      </c>
      <c r="N1730" s="141">
        <v>7000</v>
      </c>
      <c r="O1730" s="141" t="s">
        <v>4339</v>
      </c>
      <c r="P1730" s="141" t="s">
        <v>4361</v>
      </c>
    </row>
    <row r="1731" spans="1:16" ht="25.5">
      <c r="A1731" s="141">
        <v>76807</v>
      </c>
      <c r="B1731" s="141" t="s">
        <v>4325</v>
      </c>
      <c r="C1731" s="142">
        <v>41201</v>
      </c>
      <c r="D1731" s="141">
        <v>360</v>
      </c>
      <c r="E1731" s="141" t="str">
        <f t="shared" si="147"/>
        <v>001</v>
      </c>
      <c r="F1731" s="141" t="s">
        <v>4326</v>
      </c>
      <c r="G1731" s="141" t="str">
        <f t="shared" si="146"/>
        <v>1463</v>
      </c>
      <c r="H1731" s="141" t="s">
        <v>2999</v>
      </c>
      <c r="I1731" s="141" t="str">
        <f t="shared" si="148"/>
        <v>999</v>
      </c>
      <c r="J1731" s="141" t="s">
        <v>4327</v>
      </c>
      <c r="K1731" s="141">
        <v>721</v>
      </c>
      <c r="L1731" s="141">
        <v>4</v>
      </c>
      <c r="M1731" s="141">
        <v>0</v>
      </c>
      <c r="N1731" s="141">
        <v>2000</v>
      </c>
      <c r="O1731" s="141" t="s">
        <v>4350</v>
      </c>
      <c r="P1731" s="141"/>
    </row>
    <row r="1732" spans="1:16" ht="25.5">
      <c r="A1732" s="141">
        <v>76807</v>
      </c>
      <c r="B1732" s="141" t="s">
        <v>4325</v>
      </c>
      <c r="C1732" s="142">
        <v>41201</v>
      </c>
      <c r="D1732" s="141">
        <v>360</v>
      </c>
      <c r="E1732" s="141" t="str">
        <f t="shared" si="147"/>
        <v>001</v>
      </c>
      <c r="F1732" s="141" t="s">
        <v>4326</v>
      </c>
      <c r="G1732" s="141" t="str">
        <f t="shared" si="146"/>
        <v>1463</v>
      </c>
      <c r="H1732" s="141" t="s">
        <v>2999</v>
      </c>
      <c r="I1732" s="141" t="str">
        <f t="shared" si="148"/>
        <v>999</v>
      </c>
      <c r="J1732" s="141" t="s">
        <v>4327</v>
      </c>
      <c r="K1732" s="141">
        <v>722</v>
      </c>
      <c r="L1732" s="141">
        <v>1</v>
      </c>
      <c r="M1732" s="141">
        <v>0</v>
      </c>
      <c r="N1732" s="141">
        <v>57000</v>
      </c>
      <c r="O1732" s="141" t="s">
        <v>4368</v>
      </c>
      <c r="P1732" s="141"/>
    </row>
    <row r="1733" spans="1:16" ht="25.5">
      <c r="A1733" s="141">
        <v>76807</v>
      </c>
      <c r="B1733" s="141" t="s">
        <v>4325</v>
      </c>
      <c r="C1733" s="142">
        <v>41201</v>
      </c>
      <c r="D1733" s="141">
        <v>360</v>
      </c>
      <c r="E1733" s="141" t="str">
        <f t="shared" si="147"/>
        <v>001</v>
      </c>
      <c r="F1733" s="141" t="s">
        <v>4326</v>
      </c>
      <c r="G1733" s="141" t="str">
        <f t="shared" si="146"/>
        <v>1463</v>
      </c>
      <c r="H1733" s="141" t="s">
        <v>2999</v>
      </c>
      <c r="I1733" s="141" t="str">
        <f t="shared" si="148"/>
        <v>999</v>
      </c>
      <c r="J1733" s="141" t="s">
        <v>4327</v>
      </c>
      <c r="K1733" s="141">
        <v>723</v>
      </c>
      <c r="L1733" s="141">
        <v>1</v>
      </c>
      <c r="M1733" s="141">
        <v>0</v>
      </c>
      <c r="N1733" s="141">
        <v>5000</v>
      </c>
      <c r="O1733" s="141" t="s">
        <v>4369</v>
      </c>
      <c r="P1733" s="141" t="s">
        <v>4402</v>
      </c>
    </row>
    <row r="1734" spans="1:16" ht="25.5">
      <c r="A1734" s="141">
        <v>76807</v>
      </c>
      <c r="B1734" s="141" t="s">
        <v>4325</v>
      </c>
      <c r="C1734" s="142">
        <v>41201</v>
      </c>
      <c r="D1734" s="141">
        <v>358</v>
      </c>
      <c r="E1734" s="141" t="str">
        <f t="shared" si="147"/>
        <v>001</v>
      </c>
      <c r="F1734" s="141" t="s">
        <v>4326</v>
      </c>
      <c r="G1734" s="141" t="str">
        <f t="shared" ref="G1734:G1754" si="149">"1470"</f>
        <v>1470</v>
      </c>
      <c r="H1734" s="141" t="s">
        <v>2546</v>
      </c>
      <c r="I1734" s="141" t="str">
        <f t="shared" si="148"/>
        <v>999</v>
      </c>
      <c r="J1734" s="141" t="s">
        <v>4327</v>
      </c>
      <c r="K1734" s="141">
        <v>692</v>
      </c>
      <c r="L1734" s="141">
        <v>1</v>
      </c>
      <c r="M1734" s="141">
        <v>0</v>
      </c>
      <c r="N1734" s="141">
        <v>3000</v>
      </c>
      <c r="O1734" s="141" t="s">
        <v>4330</v>
      </c>
      <c r="P1734" s="141" t="s">
        <v>4331</v>
      </c>
    </row>
    <row r="1735" spans="1:16" ht="25.5">
      <c r="A1735" s="141">
        <v>76807</v>
      </c>
      <c r="B1735" s="141" t="s">
        <v>4325</v>
      </c>
      <c r="C1735" s="142">
        <v>41201</v>
      </c>
      <c r="D1735" s="141">
        <v>358</v>
      </c>
      <c r="E1735" s="141" t="str">
        <f t="shared" si="147"/>
        <v>001</v>
      </c>
      <c r="F1735" s="141" t="s">
        <v>4326</v>
      </c>
      <c r="G1735" s="141" t="str">
        <f t="shared" si="149"/>
        <v>1470</v>
      </c>
      <c r="H1735" s="141" t="s">
        <v>2546</v>
      </c>
      <c r="I1735" s="141" t="str">
        <f t="shared" si="148"/>
        <v>999</v>
      </c>
      <c r="J1735" s="141" t="s">
        <v>4327</v>
      </c>
      <c r="K1735" s="141">
        <v>693</v>
      </c>
      <c r="L1735" s="141">
        <v>1</v>
      </c>
      <c r="M1735" s="141">
        <v>0</v>
      </c>
      <c r="N1735" s="141">
        <v>5000</v>
      </c>
      <c r="O1735" s="141" t="s">
        <v>4422</v>
      </c>
      <c r="P1735" s="141" t="s">
        <v>4355</v>
      </c>
    </row>
    <row r="1736" spans="1:16" ht="25.5">
      <c r="A1736" s="141">
        <v>76807</v>
      </c>
      <c r="B1736" s="141" t="s">
        <v>4325</v>
      </c>
      <c r="C1736" s="142">
        <v>41201</v>
      </c>
      <c r="D1736" s="141">
        <v>358</v>
      </c>
      <c r="E1736" s="141" t="str">
        <f t="shared" si="147"/>
        <v>001</v>
      </c>
      <c r="F1736" s="141" t="s">
        <v>4326</v>
      </c>
      <c r="G1736" s="141" t="str">
        <f t="shared" si="149"/>
        <v>1470</v>
      </c>
      <c r="H1736" s="141" t="s">
        <v>2546</v>
      </c>
      <c r="I1736" s="141" t="str">
        <f t="shared" si="148"/>
        <v>999</v>
      </c>
      <c r="J1736" s="141" t="s">
        <v>4327</v>
      </c>
      <c r="K1736" s="141">
        <v>694</v>
      </c>
      <c r="L1736" s="141">
        <v>1</v>
      </c>
      <c r="M1736" s="141">
        <v>0</v>
      </c>
      <c r="N1736" s="141">
        <v>14000</v>
      </c>
      <c r="O1736" s="141" t="s">
        <v>4337</v>
      </c>
      <c r="P1736" s="141" t="s">
        <v>4808</v>
      </c>
    </row>
    <row r="1737" spans="1:16" ht="25.5">
      <c r="A1737" s="141">
        <v>76807</v>
      </c>
      <c r="B1737" s="141" t="s">
        <v>4325</v>
      </c>
      <c r="C1737" s="142">
        <v>41201</v>
      </c>
      <c r="D1737" s="141">
        <v>358</v>
      </c>
      <c r="E1737" s="141" t="str">
        <f t="shared" si="147"/>
        <v>001</v>
      </c>
      <c r="F1737" s="141" t="s">
        <v>4326</v>
      </c>
      <c r="G1737" s="141" t="str">
        <f t="shared" si="149"/>
        <v>1470</v>
      </c>
      <c r="H1737" s="141" t="s">
        <v>2546</v>
      </c>
      <c r="I1737" s="141" t="str">
        <f t="shared" si="148"/>
        <v>999</v>
      </c>
      <c r="J1737" s="141" t="s">
        <v>4327</v>
      </c>
      <c r="K1737" s="141">
        <v>695</v>
      </c>
      <c r="L1737" s="141">
        <v>1</v>
      </c>
      <c r="M1737" s="141">
        <v>0</v>
      </c>
      <c r="N1737" s="141">
        <v>16000</v>
      </c>
      <c r="O1737" s="141" t="s">
        <v>4351</v>
      </c>
      <c r="P1737" s="141" t="s">
        <v>4479</v>
      </c>
    </row>
    <row r="1738" spans="1:16" ht="25.5">
      <c r="A1738" s="141">
        <v>76807</v>
      </c>
      <c r="B1738" s="141" t="s">
        <v>4325</v>
      </c>
      <c r="C1738" s="142">
        <v>41201</v>
      </c>
      <c r="D1738" s="141">
        <v>358</v>
      </c>
      <c r="E1738" s="141" t="str">
        <f t="shared" si="147"/>
        <v>001</v>
      </c>
      <c r="F1738" s="141" t="s">
        <v>4326</v>
      </c>
      <c r="G1738" s="141" t="str">
        <f t="shared" si="149"/>
        <v>1470</v>
      </c>
      <c r="H1738" s="141" t="s">
        <v>2546</v>
      </c>
      <c r="I1738" s="141" t="str">
        <f t="shared" si="148"/>
        <v>999</v>
      </c>
      <c r="J1738" s="141" t="s">
        <v>4327</v>
      </c>
      <c r="K1738" s="141">
        <v>696</v>
      </c>
      <c r="L1738" s="141">
        <v>1</v>
      </c>
      <c r="M1738" s="141">
        <v>0</v>
      </c>
      <c r="N1738" s="141">
        <v>672000</v>
      </c>
      <c r="O1738" s="141" t="s">
        <v>4366</v>
      </c>
      <c r="P1738" s="141" t="s">
        <v>4809</v>
      </c>
    </row>
    <row r="1739" spans="1:16" ht="25.5">
      <c r="A1739" s="141">
        <v>76807</v>
      </c>
      <c r="B1739" s="141" t="s">
        <v>4325</v>
      </c>
      <c r="C1739" s="142">
        <v>41201</v>
      </c>
      <c r="D1739" s="141">
        <v>358</v>
      </c>
      <c r="E1739" s="141" t="str">
        <f t="shared" si="147"/>
        <v>001</v>
      </c>
      <c r="F1739" s="141" t="s">
        <v>4326</v>
      </c>
      <c r="G1739" s="141" t="str">
        <f t="shared" si="149"/>
        <v>1470</v>
      </c>
      <c r="H1739" s="141" t="s">
        <v>2546</v>
      </c>
      <c r="I1739" s="141" t="str">
        <f t="shared" si="148"/>
        <v>999</v>
      </c>
      <c r="J1739" s="141" t="s">
        <v>4327</v>
      </c>
      <c r="K1739" s="141">
        <v>697</v>
      </c>
      <c r="L1739" s="141">
        <v>4</v>
      </c>
      <c r="M1739" s="141">
        <v>0</v>
      </c>
      <c r="N1739" s="141">
        <v>41000</v>
      </c>
      <c r="O1739" s="141" t="s">
        <v>4357</v>
      </c>
      <c r="P1739" s="141" t="s">
        <v>4359</v>
      </c>
    </row>
    <row r="1740" spans="1:16" ht="25.5">
      <c r="A1740" s="141">
        <v>76807</v>
      </c>
      <c r="B1740" s="141" t="s">
        <v>4325</v>
      </c>
      <c r="C1740" s="142">
        <v>41201</v>
      </c>
      <c r="D1740" s="141">
        <v>358</v>
      </c>
      <c r="E1740" s="141" t="str">
        <f t="shared" si="147"/>
        <v>001</v>
      </c>
      <c r="F1740" s="141" t="s">
        <v>4326</v>
      </c>
      <c r="G1740" s="141" t="str">
        <f t="shared" si="149"/>
        <v>1470</v>
      </c>
      <c r="H1740" s="141" t="s">
        <v>2546</v>
      </c>
      <c r="I1740" s="141" t="str">
        <f t="shared" si="148"/>
        <v>999</v>
      </c>
      <c r="J1740" s="141" t="s">
        <v>4327</v>
      </c>
      <c r="K1740" s="141">
        <v>698</v>
      </c>
      <c r="L1740" s="141">
        <v>8</v>
      </c>
      <c r="M1740" s="141">
        <v>0</v>
      </c>
      <c r="N1740" s="141">
        <v>66000</v>
      </c>
      <c r="O1740" s="141" t="s">
        <v>4357</v>
      </c>
      <c r="P1740" s="141" t="s">
        <v>4561</v>
      </c>
    </row>
    <row r="1741" spans="1:16" ht="25.5">
      <c r="A1741" s="141">
        <v>76807</v>
      </c>
      <c r="B1741" s="141" t="s">
        <v>4325</v>
      </c>
      <c r="C1741" s="142">
        <v>41201</v>
      </c>
      <c r="D1741" s="141">
        <v>358</v>
      </c>
      <c r="E1741" s="141" t="str">
        <f t="shared" si="147"/>
        <v>001</v>
      </c>
      <c r="F1741" s="141" t="s">
        <v>4326</v>
      </c>
      <c r="G1741" s="141" t="str">
        <f t="shared" si="149"/>
        <v>1470</v>
      </c>
      <c r="H1741" s="141" t="s">
        <v>2546</v>
      </c>
      <c r="I1741" s="141" t="str">
        <f t="shared" si="148"/>
        <v>999</v>
      </c>
      <c r="J1741" s="141" t="s">
        <v>4327</v>
      </c>
      <c r="K1741" s="141">
        <v>699</v>
      </c>
      <c r="L1741" s="141">
        <v>1</v>
      </c>
      <c r="M1741" s="141">
        <v>0</v>
      </c>
      <c r="N1741" s="141">
        <v>38000</v>
      </c>
      <c r="O1741" s="141" t="s">
        <v>4353</v>
      </c>
      <c r="P1741" s="141" t="s">
        <v>4810</v>
      </c>
    </row>
    <row r="1742" spans="1:16" ht="25.5">
      <c r="A1742" s="141">
        <v>76807</v>
      </c>
      <c r="B1742" s="141" t="s">
        <v>4325</v>
      </c>
      <c r="C1742" s="142">
        <v>41201</v>
      </c>
      <c r="D1742" s="141">
        <v>358</v>
      </c>
      <c r="E1742" s="141" t="str">
        <f t="shared" si="147"/>
        <v>001</v>
      </c>
      <c r="F1742" s="141" t="s">
        <v>4326</v>
      </c>
      <c r="G1742" s="141" t="str">
        <f t="shared" si="149"/>
        <v>1470</v>
      </c>
      <c r="H1742" s="141" t="s">
        <v>2546</v>
      </c>
      <c r="I1742" s="141" t="str">
        <f t="shared" si="148"/>
        <v>999</v>
      </c>
      <c r="J1742" s="141" t="s">
        <v>4327</v>
      </c>
      <c r="K1742" s="141">
        <v>700</v>
      </c>
      <c r="L1742" s="141">
        <v>1</v>
      </c>
      <c r="M1742" s="141">
        <v>0</v>
      </c>
      <c r="N1742" s="141">
        <v>18000</v>
      </c>
      <c r="O1742" s="141" t="s">
        <v>4353</v>
      </c>
      <c r="P1742" s="141" t="s">
        <v>4811</v>
      </c>
    </row>
    <row r="1743" spans="1:16" ht="25.5">
      <c r="A1743" s="141">
        <v>76807</v>
      </c>
      <c r="B1743" s="141" t="s">
        <v>4325</v>
      </c>
      <c r="C1743" s="142">
        <v>41201</v>
      </c>
      <c r="D1743" s="141">
        <v>358</v>
      </c>
      <c r="E1743" s="141" t="str">
        <f t="shared" si="147"/>
        <v>001</v>
      </c>
      <c r="F1743" s="141" t="s">
        <v>4326</v>
      </c>
      <c r="G1743" s="141" t="str">
        <f t="shared" si="149"/>
        <v>1470</v>
      </c>
      <c r="H1743" s="141" t="s">
        <v>2546</v>
      </c>
      <c r="I1743" s="141" t="str">
        <f t="shared" si="148"/>
        <v>999</v>
      </c>
      <c r="J1743" s="141" t="s">
        <v>4327</v>
      </c>
      <c r="K1743" s="141">
        <v>701</v>
      </c>
      <c r="L1743" s="141">
        <v>1</v>
      </c>
      <c r="M1743" s="141">
        <v>0</v>
      </c>
      <c r="N1743" s="141">
        <v>9000</v>
      </c>
      <c r="O1743" s="141" t="s">
        <v>4397</v>
      </c>
      <c r="P1743" s="141" t="s">
        <v>4689</v>
      </c>
    </row>
    <row r="1744" spans="1:16" ht="25.5">
      <c r="A1744" s="141">
        <v>76807</v>
      </c>
      <c r="B1744" s="141" t="s">
        <v>4325</v>
      </c>
      <c r="C1744" s="142">
        <v>41201</v>
      </c>
      <c r="D1744" s="141">
        <v>358</v>
      </c>
      <c r="E1744" s="141" t="str">
        <f t="shared" si="147"/>
        <v>001</v>
      </c>
      <c r="F1744" s="141" t="s">
        <v>4326</v>
      </c>
      <c r="G1744" s="141" t="str">
        <f t="shared" si="149"/>
        <v>1470</v>
      </c>
      <c r="H1744" s="141" t="s">
        <v>2546</v>
      </c>
      <c r="I1744" s="141" t="str">
        <f t="shared" si="148"/>
        <v>999</v>
      </c>
      <c r="J1744" s="141" t="s">
        <v>4327</v>
      </c>
      <c r="K1744" s="141">
        <v>702</v>
      </c>
      <c r="L1744" s="141">
        <v>1</v>
      </c>
      <c r="M1744" s="141">
        <v>0</v>
      </c>
      <c r="N1744" s="141">
        <v>136000</v>
      </c>
      <c r="O1744" s="141" t="s">
        <v>4368</v>
      </c>
      <c r="P1744" s="141"/>
    </row>
    <row r="1745" spans="1:16" ht="25.5">
      <c r="A1745" s="141">
        <v>76807</v>
      </c>
      <c r="B1745" s="141" t="s">
        <v>4325</v>
      </c>
      <c r="C1745" s="142">
        <v>41201</v>
      </c>
      <c r="D1745" s="141">
        <v>358</v>
      </c>
      <c r="E1745" s="141" t="str">
        <f t="shared" si="147"/>
        <v>001</v>
      </c>
      <c r="F1745" s="141" t="s">
        <v>4326</v>
      </c>
      <c r="G1745" s="141" t="str">
        <f t="shared" si="149"/>
        <v>1470</v>
      </c>
      <c r="H1745" s="141" t="s">
        <v>2546</v>
      </c>
      <c r="I1745" s="141" t="str">
        <f t="shared" si="148"/>
        <v>999</v>
      </c>
      <c r="J1745" s="141" t="s">
        <v>4327</v>
      </c>
      <c r="K1745" s="141">
        <v>703</v>
      </c>
      <c r="L1745" s="141">
        <v>1</v>
      </c>
      <c r="M1745" s="141">
        <v>0</v>
      </c>
      <c r="N1745" s="141">
        <v>8000</v>
      </c>
      <c r="O1745" s="141" t="s">
        <v>4369</v>
      </c>
      <c r="P1745" s="141" t="s">
        <v>4812</v>
      </c>
    </row>
    <row r="1746" spans="1:16" ht="25.5">
      <c r="A1746" s="141">
        <v>76807</v>
      </c>
      <c r="B1746" s="141" t="s">
        <v>4325</v>
      </c>
      <c r="C1746" s="142">
        <v>41201</v>
      </c>
      <c r="D1746" s="141">
        <v>358</v>
      </c>
      <c r="E1746" s="141" t="str">
        <f t="shared" si="147"/>
        <v>001</v>
      </c>
      <c r="F1746" s="141" t="s">
        <v>4326</v>
      </c>
      <c r="G1746" s="141" t="str">
        <f t="shared" si="149"/>
        <v>1470</v>
      </c>
      <c r="H1746" s="141" t="s">
        <v>2546</v>
      </c>
      <c r="I1746" s="141" t="str">
        <f t="shared" si="148"/>
        <v>999</v>
      </c>
      <c r="J1746" s="141" t="s">
        <v>4327</v>
      </c>
      <c r="K1746" s="141">
        <v>704</v>
      </c>
      <c r="L1746" s="141">
        <v>1</v>
      </c>
      <c r="M1746" s="141">
        <v>0</v>
      </c>
      <c r="N1746" s="141">
        <v>1000</v>
      </c>
      <c r="O1746" s="141" t="s">
        <v>4344</v>
      </c>
      <c r="P1746" s="141"/>
    </row>
    <row r="1747" spans="1:16" ht="25.5">
      <c r="A1747" s="141">
        <v>76807</v>
      </c>
      <c r="B1747" s="141" t="s">
        <v>4325</v>
      </c>
      <c r="C1747" s="142">
        <v>41201</v>
      </c>
      <c r="D1747" s="141">
        <v>358</v>
      </c>
      <c r="E1747" s="141" t="str">
        <f t="shared" si="147"/>
        <v>001</v>
      </c>
      <c r="F1747" s="141" t="s">
        <v>4326</v>
      </c>
      <c r="G1747" s="141" t="str">
        <f t="shared" si="149"/>
        <v>1470</v>
      </c>
      <c r="H1747" s="141" t="s">
        <v>2546</v>
      </c>
      <c r="I1747" s="141" t="str">
        <f t="shared" si="148"/>
        <v>999</v>
      </c>
      <c r="J1747" s="141" t="s">
        <v>4327</v>
      </c>
      <c r="K1747" s="141">
        <v>705</v>
      </c>
      <c r="L1747" s="141">
        <v>1</v>
      </c>
      <c r="M1747" s="141">
        <v>0</v>
      </c>
      <c r="N1747" s="141">
        <v>1000</v>
      </c>
      <c r="O1747" s="141" t="s">
        <v>4344</v>
      </c>
      <c r="P1747" s="141"/>
    </row>
    <row r="1748" spans="1:16" ht="25.5">
      <c r="A1748" s="141">
        <v>76807</v>
      </c>
      <c r="B1748" s="141" t="s">
        <v>4325</v>
      </c>
      <c r="C1748" s="142">
        <v>41201</v>
      </c>
      <c r="D1748" s="141">
        <v>358</v>
      </c>
      <c r="E1748" s="141" t="str">
        <f t="shared" si="147"/>
        <v>001</v>
      </c>
      <c r="F1748" s="141" t="s">
        <v>4326</v>
      </c>
      <c r="G1748" s="141" t="str">
        <f t="shared" si="149"/>
        <v>1470</v>
      </c>
      <c r="H1748" s="141" t="s">
        <v>2546</v>
      </c>
      <c r="I1748" s="141" t="str">
        <f t="shared" si="148"/>
        <v>999</v>
      </c>
      <c r="J1748" s="141" t="s">
        <v>4327</v>
      </c>
      <c r="K1748" s="141">
        <v>706</v>
      </c>
      <c r="L1748" s="141">
        <v>1</v>
      </c>
      <c r="M1748" s="141">
        <v>0</v>
      </c>
      <c r="N1748" s="141">
        <v>2000</v>
      </c>
      <c r="O1748" s="141" t="s">
        <v>4347</v>
      </c>
      <c r="P1748" s="141"/>
    </row>
    <row r="1749" spans="1:16" ht="25.5">
      <c r="A1749" s="141">
        <v>76807</v>
      </c>
      <c r="B1749" s="141" t="s">
        <v>4325</v>
      </c>
      <c r="C1749" s="142">
        <v>41201</v>
      </c>
      <c r="D1749" s="141">
        <v>358</v>
      </c>
      <c r="E1749" s="141" t="str">
        <f t="shared" si="147"/>
        <v>001</v>
      </c>
      <c r="F1749" s="141" t="s">
        <v>4326</v>
      </c>
      <c r="G1749" s="141" t="str">
        <f t="shared" si="149"/>
        <v>1470</v>
      </c>
      <c r="H1749" s="141" t="s">
        <v>2546</v>
      </c>
      <c r="I1749" s="141" t="str">
        <f t="shared" si="148"/>
        <v>999</v>
      </c>
      <c r="J1749" s="141" t="s">
        <v>4327</v>
      </c>
      <c r="K1749" s="141">
        <v>707</v>
      </c>
      <c r="L1749" s="141">
        <v>1</v>
      </c>
      <c r="M1749" s="141">
        <v>0</v>
      </c>
      <c r="N1749" s="141">
        <v>1000</v>
      </c>
      <c r="O1749" s="141" t="s">
        <v>4381</v>
      </c>
      <c r="P1749" s="141"/>
    </row>
    <row r="1750" spans="1:16" ht="25.5">
      <c r="A1750" s="141">
        <v>76807</v>
      </c>
      <c r="B1750" s="141" t="s">
        <v>4325</v>
      </c>
      <c r="C1750" s="142">
        <v>41201</v>
      </c>
      <c r="D1750" s="141">
        <v>358</v>
      </c>
      <c r="E1750" s="141" t="str">
        <f t="shared" si="147"/>
        <v>001</v>
      </c>
      <c r="F1750" s="141" t="s">
        <v>4326</v>
      </c>
      <c r="G1750" s="141" t="str">
        <f t="shared" si="149"/>
        <v>1470</v>
      </c>
      <c r="H1750" s="141" t="s">
        <v>2546</v>
      </c>
      <c r="I1750" s="141" t="str">
        <f t="shared" si="148"/>
        <v>999</v>
      </c>
      <c r="J1750" s="141" t="s">
        <v>4327</v>
      </c>
      <c r="K1750" s="141">
        <v>708</v>
      </c>
      <c r="L1750" s="141">
        <v>4</v>
      </c>
      <c r="M1750" s="141">
        <v>0</v>
      </c>
      <c r="N1750" s="141">
        <v>4000</v>
      </c>
      <c r="O1750" s="141" t="s">
        <v>4536</v>
      </c>
      <c r="P1750" s="141"/>
    </row>
    <row r="1751" spans="1:16" ht="25.5">
      <c r="A1751" s="141">
        <v>76807</v>
      </c>
      <c r="B1751" s="141" t="s">
        <v>4325</v>
      </c>
      <c r="C1751" s="142">
        <v>41201</v>
      </c>
      <c r="D1751" s="141">
        <v>358</v>
      </c>
      <c r="E1751" s="141" t="str">
        <f t="shared" si="147"/>
        <v>001</v>
      </c>
      <c r="F1751" s="141" t="s">
        <v>4326</v>
      </c>
      <c r="G1751" s="141" t="str">
        <f t="shared" si="149"/>
        <v>1470</v>
      </c>
      <c r="H1751" s="141" t="s">
        <v>2546</v>
      </c>
      <c r="I1751" s="141" t="str">
        <f t="shared" si="148"/>
        <v>999</v>
      </c>
      <c r="J1751" s="141" t="s">
        <v>4327</v>
      </c>
      <c r="K1751" s="141">
        <v>709</v>
      </c>
      <c r="L1751" s="141">
        <v>7</v>
      </c>
      <c r="M1751" s="141">
        <v>0</v>
      </c>
      <c r="N1751" s="141">
        <v>4000</v>
      </c>
      <c r="O1751" s="141" t="s">
        <v>4350</v>
      </c>
      <c r="P1751" s="141"/>
    </row>
    <row r="1752" spans="1:16" ht="25.5">
      <c r="A1752" s="141">
        <v>76807</v>
      </c>
      <c r="B1752" s="141" t="s">
        <v>4325</v>
      </c>
      <c r="C1752" s="142">
        <v>41201</v>
      </c>
      <c r="D1752" s="141">
        <v>358</v>
      </c>
      <c r="E1752" s="141" t="str">
        <f t="shared" si="147"/>
        <v>001</v>
      </c>
      <c r="F1752" s="141" t="s">
        <v>4326</v>
      </c>
      <c r="G1752" s="141" t="str">
        <f t="shared" si="149"/>
        <v>1470</v>
      </c>
      <c r="H1752" s="141" t="s">
        <v>2546</v>
      </c>
      <c r="I1752" s="141" t="str">
        <f t="shared" si="148"/>
        <v>999</v>
      </c>
      <c r="J1752" s="141" t="s">
        <v>4327</v>
      </c>
      <c r="K1752" s="141">
        <v>710</v>
      </c>
      <c r="L1752" s="141">
        <v>3</v>
      </c>
      <c r="M1752" s="141">
        <v>0</v>
      </c>
      <c r="N1752" s="141">
        <v>5000</v>
      </c>
      <c r="O1752" s="141" t="s">
        <v>4484</v>
      </c>
      <c r="P1752" s="141"/>
    </row>
    <row r="1753" spans="1:16" ht="25.5">
      <c r="A1753" s="141">
        <v>76807</v>
      </c>
      <c r="B1753" s="141" t="s">
        <v>4325</v>
      </c>
      <c r="C1753" s="142">
        <v>41201</v>
      </c>
      <c r="D1753" s="141">
        <v>358</v>
      </c>
      <c r="E1753" s="141" t="str">
        <f t="shared" si="147"/>
        <v>001</v>
      </c>
      <c r="F1753" s="141" t="s">
        <v>4326</v>
      </c>
      <c r="G1753" s="141" t="str">
        <f t="shared" si="149"/>
        <v>1470</v>
      </c>
      <c r="H1753" s="141" t="s">
        <v>2546</v>
      </c>
      <c r="I1753" s="141" t="str">
        <f t="shared" si="148"/>
        <v>999</v>
      </c>
      <c r="J1753" s="141" t="s">
        <v>4327</v>
      </c>
      <c r="K1753" s="141">
        <v>711</v>
      </c>
      <c r="L1753" s="141">
        <v>15</v>
      </c>
      <c r="M1753" s="141">
        <v>0</v>
      </c>
      <c r="N1753" s="141">
        <v>11000</v>
      </c>
      <c r="O1753" s="141" t="s">
        <v>4343</v>
      </c>
      <c r="P1753" s="141"/>
    </row>
    <row r="1754" spans="1:16" ht="25.5">
      <c r="A1754" s="141">
        <v>76807</v>
      </c>
      <c r="B1754" s="141" t="s">
        <v>4325</v>
      </c>
      <c r="C1754" s="142">
        <v>41201</v>
      </c>
      <c r="D1754" s="141">
        <v>358</v>
      </c>
      <c r="E1754" s="141" t="str">
        <f t="shared" si="147"/>
        <v>001</v>
      </c>
      <c r="F1754" s="141" t="s">
        <v>4326</v>
      </c>
      <c r="G1754" s="141" t="str">
        <f t="shared" si="149"/>
        <v>1470</v>
      </c>
      <c r="H1754" s="141" t="s">
        <v>2546</v>
      </c>
      <c r="I1754" s="141" t="str">
        <f t="shared" si="148"/>
        <v>999</v>
      </c>
      <c r="J1754" s="141" t="s">
        <v>4327</v>
      </c>
      <c r="K1754" s="141">
        <v>715</v>
      </c>
      <c r="L1754" s="141">
        <v>1</v>
      </c>
      <c r="M1754" s="141">
        <v>0</v>
      </c>
      <c r="N1754" s="141">
        <v>2000</v>
      </c>
      <c r="O1754" s="141" t="s">
        <v>4426</v>
      </c>
      <c r="P1754" s="141"/>
    </row>
    <row r="1755" spans="1:16" ht="25.5">
      <c r="A1755" s="141">
        <v>76807</v>
      </c>
      <c r="B1755" s="141" t="s">
        <v>4325</v>
      </c>
      <c r="C1755" s="142">
        <v>41201</v>
      </c>
      <c r="D1755" s="141">
        <v>456</v>
      </c>
      <c r="E1755" s="141" t="str">
        <f t="shared" si="147"/>
        <v>001</v>
      </c>
      <c r="F1755" s="141" t="s">
        <v>4326</v>
      </c>
      <c r="G1755" s="141" t="str">
        <f>"1473"</f>
        <v>1473</v>
      </c>
      <c r="H1755" s="141" t="s">
        <v>1655</v>
      </c>
      <c r="I1755" s="141" t="str">
        <f t="shared" si="148"/>
        <v>999</v>
      </c>
      <c r="J1755" s="141" t="s">
        <v>4327</v>
      </c>
      <c r="K1755" s="141">
        <v>945</v>
      </c>
      <c r="L1755" s="141">
        <v>1</v>
      </c>
      <c r="M1755" s="141">
        <v>0</v>
      </c>
      <c r="N1755" s="141">
        <v>5000</v>
      </c>
      <c r="O1755" s="141" t="s">
        <v>4330</v>
      </c>
      <c r="P1755" s="141" t="s">
        <v>4471</v>
      </c>
    </row>
    <row r="1756" spans="1:16" ht="25.5">
      <c r="A1756" s="141">
        <v>76807</v>
      </c>
      <c r="B1756" s="141" t="s">
        <v>4325</v>
      </c>
      <c r="C1756" s="142">
        <v>41201</v>
      </c>
      <c r="D1756" s="141">
        <v>456</v>
      </c>
      <c r="E1756" s="141" t="str">
        <f t="shared" si="147"/>
        <v>001</v>
      </c>
      <c r="F1756" s="141" t="s">
        <v>4326</v>
      </c>
      <c r="G1756" s="141" t="str">
        <f>"1473"</f>
        <v>1473</v>
      </c>
      <c r="H1756" s="141" t="s">
        <v>1655</v>
      </c>
      <c r="I1756" s="141" t="str">
        <f t="shared" si="148"/>
        <v>999</v>
      </c>
      <c r="J1756" s="141" t="s">
        <v>4327</v>
      </c>
      <c r="K1756" s="141">
        <v>946</v>
      </c>
      <c r="L1756" s="141">
        <v>14</v>
      </c>
      <c r="M1756" s="141">
        <v>0</v>
      </c>
      <c r="N1756" s="141">
        <v>134000</v>
      </c>
      <c r="O1756" s="141" t="s">
        <v>4357</v>
      </c>
      <c r="P1756" s="141" t="s">
        <v>4495</v>
      </c>
    </row>
    <row r="1757" spans="1:16" ht="25.5">
      <c r="A1757" s="141">
        <v>76807</v>
      </c>
      <c r="B1757" s="141" t="s">
        <v>4325</v>
      </c>
      <c r="C1757" s="142">
        <v>41201</v>
      </c>
      <c r="D1757" s="141">
        <v>456</v>
      </c>
      <c r="E1757" s="141" t="str">
        <f t="shared" si="147"/>
        <v>001</v>
      </c>
      <c r="F1757" s="141" t="s">
        <v>4326</v>
      </c>
      <c r="G1757" s="141" t="str">
        <f>"1473"</f>
        <v>1473</v>
      </c>
      <c r="H1757" s="141" t="s">
        <v>1655</v>
      </c>
      <c r="I1757" s="141" t="str">
        <f t="shared" si="148"/>
        <v>999</v>
      </c>
      <c r="J1757" s="141" t="s">
        <v>4327</v>
      </c>
      <c r="K1757" s="141">
        <v>947</v>
      </c>
      <c r="L1757" s="141">
        <v>4</v>
      </c>
      <c r="M1757" s="141">
        <v>0</v>
      </c>
      <c r="N1757" s="141">
        <v>22000</v>
      </c>
      <c r="O1757" s="141" t="s">
        <v>4540</v>
      </c>
      <c r="P1757" s="141"/>
    </row>
    <row r="1758" spans="1:16" ht="25.5">
      <c r="A1758" s="141">
        <v>76807</v>
      </c>
      <c r="B1758" s="141" t="s">
        <v>4325</v>
      </c>
      <c r="C1758" s="142">
        <v>41201</v>
      </c>
      <c r="D1758" s="141">
        <v>456</v>
      </c>
      <c r="E1758" s="141" t="str">
        <f t="shared" si="147"/>
        <v>001</v>
      </c>
      <c r="F1758" s="141" t="s">
        <v>4326</v>
      </c>
      <c r="G1758" s="141" t="str">
        <f>"1473"</f>
        <v>1473</v>
      </c>
      <c r="H1758" s="141" t="s">
        <v>1655</v>
      </c>
      <c r="I1758" s="141" t="str">
        <f t="shared" si="148"/>
        <v>999</v>
      </c>
      <c r="J1758" s="141" t="s">
        <v>4327</v>
      </c>
      <c r="K1758" s="141">
        <v>952</v>
      </c>
      <c r="L1758" s="141">
        <v>1</v>
      </c>
      <c r="M1758" s="141">
        <v>0</v>
      </c>
      <c r="N1758" s="141">
        <v>6000</v>
      </c>
      <c r="O1758" s="141" t="s">
        <v>4353</v>
      </c>
      <c r="P1758" s="141" t="s">
        <v>4654</v>
      </c>
    </row>
    <row r="1759" spans="1:16" ht="25.5">
      <c r="A1759" s="141">
        <v>76807</v>
      </c>
      <c r="B1759" s="141" t="s">
        <v>4325</v>
      </c>
      <c r="C1759" s="142">
        <v>41201</v>
      </c>
      <c r="D1759" s="141">
        <v>456</v>
      </c>
      <c r="E1759" s="141" t="str">
        <f t="shared" si="147"/>
        <v>001</v>
      </c>
      <c r="F1759" s="141" t="s">
        <v>4326</v>
      </c>
      <c r="G1759" s="141" t="str">
        <f>"1473"</f>
        <v>1473</v>
      </c>
      <c r="H1759" s="141" t="s">
        <v>1655</v>
      </c>
      <c r="I1759" s="141" t="str">
        <f t="shared" si="148"/>
        <v>999</v>
      </c>
      <c r="J1759" s="141" t="s">
        <v>4327</v>
      </c>
      <c r="K1759" s="141">
        <v>953</v>
      </c>
      <c r="L1759" s="141">
        <v>1</v>
      </c>
      <c r="M1759" s="141">
        <v>0</v>
      </c>
      <c r="N1759" s="141">
        <v>6000</v>
      </c>
      <c r="O1759" s="141" t="s">
        <v>4353</v>
      </c>
      <c r="P1759" s="141" t="s">
        <v>4654</v>
      </c>
    </row>
    <row r="1760" spans="1:16" ht="25.5">
      <c r="A1760" s="141">
        <v>76807</v>
      </c>
      <c r="B1760" s="141" t="s">
        <v>4325</v>
      </c>
      <c r="C1760" s="142">
        <v>41201</v>
      </c>
      <c r="D1760" s="141">
        <v>757</v>
      </c>
      <c r="E1760" s="141" t="str">
        <f t="shared" si="147"/>
        <v>001</v>
      </c>
      <c r="F1760" s="141" t="s">
        <v>4326</v>
      </c>
      <c r="G1760" s="141" t="str">
        <f t="shared" ref="G1760:G1771" si="150">"1476"</f>
        <v>1476</v>
      </c>
      <c r="H1760" s="141" t="s">
        <v>972</v>
      </c>
      <c r="I1760" s="141" t="str">
        <f t="shared" si="148"/>
        <v>999</v>
      </c>
      <c r="J1760" s="141" t="s">
        <v>4327</v>
      </c>
      <c r="K1760" s="141">
        <v>2653</v>
      </c>
      <c r="L1760" s="141">
        <v>1</v>
      </c>
      <c r="M1760" s="141">
        <v>0</v>
      </c>
      <c r="N1760" s="141">
        <v>164000</v>
      </c>
      <c r="O1760" s="141" t="s">
        <v>4463</v>
      </c>
      <c r="P1760" s="141" t="s">
        <v>4813</v>
      </c>
    </row>
    <row r="1761" spans="1:16" ht="25.5">
      <c r="A1761" s="141">
        <v>76807</v>
      </c>
      <c r="B1761" s="141" t="s">
        <v>4325</v>
      </c>
      <c r="C1761" s="142">
        <v>41201</v>
      </c>
      <c r="D1761" s="141">
        <v>757</v>
      </c>
      <c r="E1761" s="141" t="str">
        <f t="shared" si="147"/>
        <v>001</v>
      </c>
      <c r="F1761" s="141" t="s">
        <v>4326</v>
      </c>
      <c r="G1761" s="141" t="str">
        <f t="shared" si="150"/>
        <v>1476</v>
      </c>
      <c r="H1761" s="141" t="s">
        <v>972</v>
      </c>
      <c r="I1761" s="141" t="str">
        <f t="shared" si="148"/>
        <v>999</v>
      </c>
      <c r="J1761" s="141" t="s">
        <v>4327</v>
      </c>
      <c r="K1761" s="141">
        <v>2654</v>
      </c>
      <c r="L1761" s="141">
        <v>6</v>
      </c>
      <c r="M1761" s="141">
        <v>0</v>
      </c>
      <c r="N1761" s="141">
        <v>9000</v>
      </c>
      <c r="O1761" s="141" t="s">
        <v>4334</v>
      </c>
      <c r="P1761" s="141" t="s">
        <v>4363</v>
      </c>
    </row>
    <row r="1762" spans="1:16" ht="25.5">
      <c r="A1762" s="141">
        <v>76807</v>
      </c>
      <c r="B1762" s="141" t="s">
        <v>4325</v>
      </c>
      <c r="C1762" s="142">
        <v>41201</v>
      </c>
      <c r="D1762" s="141">
        <v>757</v>
      </c>
      <c r="E1762" s="141" t="str">
        <f t="shared" si="147"/>
        <v>001</v>
      </c>
      <c r="F1762" s="141" t="s">
        <v>4326</v>
      </c>
      <c r="G1762" s="141" t="str">
        <f t="shared" si="150"/>
        <v>1476</v>
      </c>
      <c r="H1762" s="141" t="s">
        <v>972</v>
      </c>
      <c r="I1762" s="141" t="str">
        <f t="shared" si="148"/>
        <v>999</v>
      </c>
      <c r="J1762" s="141" t="s">
        <v>4327</v>
      </c>
      <c r="K1762" s="141">
        <v>2655</v>
      </c>
      <c r="L1762" s="141">
        <v>1</v>
      </c>
      <c r="M1762" s="141">
        <v>0</v>
      </c>
      <c r="N1762" s="141">
        <v>2000</v>
      </c>
      <c r="O1762" s="141" t="s">
        <v>4431</v>
      </c>
      <c r="P1762" s="141" t="s">
        <v>4704</v>
      </c>
    </row>
    <row r="1763" spans="1:16" ht="25.5">
      <c r="A1763" s="141">
        <v>76807</v>
      </c>
      <c r="B1763" s="141" t="s">
        <v>4325</v>
      </c>
      <c r="C1763" s="142">
        <v>41201</v>
      </c>
      <c r="D1763" s="141">
        <v>757</v>
      </c>
      <c r="E1763" s="141" t="str">
        <f t="shared" si="147"/>
        <v>001</v>
      </c>
      <c r="F1763" s="141" t="s">
        <v>4326</v>
      </c>
      <c r="G1763" s="141" t="str">
        <f t="shared" si="150"/>
        <v>1476</v>
      </c>
      <c r="H1763" s="141" t="s">
        <v>972</v>
      </c>
      <c r="I1763" s="141" t="str">
        <f t="shared" si="148"/>
        <v>999</v>
      </c>
      <c r="J1763" s="141" t="s">
        <v>4327</v>
      </c>
      <c r="K1763" s="141">
        <v>2656</v>
      </c>
      <c r="L1763" s="141">
        <v>1</v>
      </c>
      <c r="M1763" s="141">
        <v>0</v>
      </c>
      <c r="N1763" s="141">
        <v>30000</v>
      </c>
      <c r="O1763" s="141" t="s">
        <v>4814</v>
      </c>
      <c r="P1763" s="141" t="s">
        <v>4745</v>
      </c>
    </row>
    <row r="1764" spans="1:16" ht="25.5">
      <c r="A1764" s="141">
        <v>76807</v>
      </c>
      <c r="B1764" s="141" t="s">
        <v>4325</v>
      </c>
      <c r="C1764" s="142">
        <v>41201</v>
      </c>
      <c r="D1764" s="141">
        <v>757</v>
      </c>
      <c r="E1764" s="141" t="str">
        <f t="shared" si="147"/>
        <v>001</v>
      </c>
      <c r="F1764" s="141" t="s">
        <v>4326</v>
      </c>
      <c r="G1764" s="141" t="str">
        <f t="shared" si="150"/>
        <v>1476</v>
      </c>
      <c r="H1764" s="141" t="s">
        <v>972</v>
      </c>
      <c r="I1764" s="141" t="str">
        <f t="shared" si="148"/>
        <v>999</v>
      </c>
      <c r="J1764" s="141" t="s">
        <v>4327</v>
      </c>
      <c r="K1764" s="141">
        <v>2657</v>
      </c>
      <c r="L1764" s="141">
        <v>1</v>
      </c>
      <c r="M1764" s="141">
        <v>0</v>
      </c>
      <c r="N1764" s="141">
        <v>5000</v>
      </c>
      <c r="O1764" s="141" t="s">
        <v>4814</v>
      </c>
      <c r="P1764" s="141" t="s">
        <v>4658</v>
      </c>
    </row>
    <row r="1765" spans="1:16" ht="25.5">
      <c r="A1765" s="141">
        <v>76807</v>
      </c>
      <c r="B1765" s="141" t="s">
        <v>4325</v>
      </c>
      <c r="C1765" s="142">
        <v>41201</v>
      </c>
      <c r="D1765" s="141">
        <v>757</v>
      </c>
      <c r="E1765" s="141" t="str">
        <f t="shared" si="147"/>
        <v>001</v>
      </c>
      <c r="F1765" s="141" t="s">
        <v>4326</v>
      </c>
      <c r="G1765" s="141" t="str">
        <f t="shared" si="150"/>
        <v>1476</v>
      </c>
      <c r="H1765" s="141" t="s">
        <v>972</v>
      </c>
      <c r="I1765" s="141" t="str">
        <f t="shared" si="148"/>
        <v>999</v>
      </c>
      <c r="J1765" s="141" t="s">
        <v>4327</v>
      </c>
      <c r="K1765" s="141">
        <v>2658</v>
      </c>
      <c r="L1765" s="141">
        <v>1</v>
      </c>
      <c r="M1765" s="141">
        <v>0</v>
      </c>
      <c r="N1765" s="141">
        <v>4000</v>
      </c>
      <c r="O1765" s="141" t="s">
        <v>4353</v>
      </c>
      <c r="P1765" s="141" t="s">
        <v>4354</v>
      </c>
    </row>
    <row r="1766" spans="1:16" ht="25.5">
      <c r="A1766" s="141">
        <v>76807</v>
      </c>
      <c r="B1766" s="141" t="s">
        <v>4325</v>
      </c>
      <c r="C1766" s="142">
        <v>41201</v>
      </c>
      <c r="D1766" s="141">
        <v>757</v>
      </c>
      <c r="E1766" s="141" t="str">
        <f t="shared" si="147"/>
        <v>001</v>
      </c>
      <c r="F1766" s="141" t="s">
        <v>4326</v>
      </c>
      <c r="G1766" s="141" t="str">
        <f t="shared" si="150"/>
        <v>1476</v>
      </c>
      <c r="H1766" s="141" t="s">
        <v>972</v>
      </c>
      <c r="I1766" s="141" t="str">
        <f t="shared" si="148"/>
        <v>999</v>
      </c>
      <c r="J1766" s="141" t="s">
        <v>4327</v>
      </c>
      <c r="K1766" s="141">
        <v>2659</v>
      </c>
      <c r="L1766" s="141">
        <v>1</v>
      </c>
      <c r="M1766" s="141">
        <v>0</v>
      </c>
      <c r="N1766" s="141">
        <v>17000</v>
      </c>
      <c r="O1766" s="141" t="s">
        <v>4353</v>
      </c>
      <c r="P1766" s="141" t="s">
        <v>4815</v>
      </c>
    </row>
    <row r="1767" spans="1:16" ht="25.5">
      <c r="A1767" s="141">
        <v>76807</v>
      </c>
      <c r="B1767" s="141" t="s">
        <v>4325</v>
      </c>
      <c r="C1767" s="142">
        <v>41201</v>
      </c>
      <c r="D1767" s="141">
        <v>757</v>
      </c>
      <c r="E1767" s="141" t="str">
        <f t="shared" si="147"/>
        <v>001</v>
      </c>
      <c r="F1767" s="141" t="s">
        <v>4326</v>
      </c>
      <c r="G1767" s="141" t="str">
        <f t="shared" si="150"/>
        <v>1476</v>
      </c>
      <c r="H1767" s="141" t="s">
        <v>972</v>
      </c>
      <c r="I1767" s="141" t="str">
        <f t="shared" si="148"/>
        <v>999</v>
      </c>
      <c r="J1767" s="141" t="s">
        <v>4327</v>
      </c>
      <c r="K1767" s="141">
        <v>2660</v>
      </c>
      <c r="L1767" s="141">
        <v>1</v>
      </c>
      <c r="M1767" s="141">
        <v>0</v>
      </c>
      <c r="N1767" s="141">
        <v>84000</v>
      </c>
      <c r="O1767" s="141" t="s">
        <v>4619</v>
      </c>
      <c r="P1767" s="141"/>
    </row>
    <row r="1768" spans="1:16" ht="25.5">
      <c r="A1768" s="141">
        <v>76807</v>
      </c>
      <c r="B1768" s="141" t="s">
        <v>4325</v>
      </c>
      <c r="C1768" s="142">
        <v>41201</v>
      </c>
      <c r="D1768" s="141">
        <v>757</v>
      </c>
      <c r="E1768" s="141" t="str">
        <f t="shared" si="147"/>
        <v>001</v>
      </c>
      <c r="F1768" s="141" t="s">
        <v>4326</v>
      </c>
      <c r="G1768" s="141" t="str">
        <f t="shared" si="150"/>
        <v>1476</v>
      </c>
      <c r="H1768" s="141" t="s">
        <v>972</v>
      </c>
      <c r="I1768" s="141" t="str">
        <f t="shared" si="148"/>
        <v>999</v>
      </c>
      <c r="J1768" s="141" t="s">
        <v>4327</v>
      </c>
      <c r="K1768" s="141">
        <v>2661</v>
      </c>
      <c r="L1768" s="141">
        <v>9</v>
      </c>
      <c r="M1768" s="141">
        <v>0</v>
      </c>
      <c r="N1768" s="141">
        <v>6000</v>
      </c>
      <c r="O1768" s="141" t="s">
        <v>4343</v>
      </c>
      <c r="P1768" s="141"/>
    </row>
    <row r="1769" spans="1:16" ht="25.5">
      <c r="A1769" s="141">
        <v>76807</v>
      </c>
      <c r="B1769" s="141" t="s">
        <v>4325</v>
      </c>
      <c r="C1769" s="142">
        <v>41201</v>
      </c>
      <c r="D1769" s="141">
        <v>757</v>
      </c>
      <c r="E1769" s="141" t="str">
        <f t="shared" si="147"/>
        <v>001</v>
      </c>
      <c r="F1769" s="141" t="s">
        <v>4326</v>
      </c>
      <c r="G1769" s="141" t="str">
        <f t="shared" si="150"/>
        <v>1476</v>
      </c>
      <c r="H1769" s="141" t="s">
        <v>972</v>
      </c>
      <c r="I1769" s="141" t="str">
        <f t="shared" si="148"/>
        <v>999</v>
      </c>
      <c r="J1769" s="141" t="s">
        <v>4327</v>
      </c>
      <c r="K1769" s="141">
        <v>2662</v>
      </c>
      <c r="L1769" s="141">
        <v>1</v>
      </c>
      <c r="M1769" s="141">
        <v>0</v>
      </c>
      <c r="N1769" s="141">
        <v>1000</v>
      </c>
      <c r="O1769" s="141" t="s">
        <v>4350</v>
      </c>
      <c r="P1769" s="141"/>
    </row>
    <row r="1770" spans="1:16" ht="25.5">
      <c r="A1770" s="141">
        <v>76807</v>
      </c>
      <c r="B1770" s="141" t="s">
        <v>4325</v>
      </c>
      <c r="C1770" s="142">
        <v>41201</v>
      </c>
      <c r="D1770" s="141">
        <v>757</v>
      </c>
      <c r="E1770" s="141" t="str">
        <f t="shared" si="147"/>
        <v>001</v>
      </c>
      <c r="F1770" s="141" t="s">
        <v>4326</v>
      </c>
      <c r="G1770" s="141" t="str">
        <f t="shared" si="150"/>
        <v>1476</v>
      </c>
      <c r="H1770" s="141" t="s">
        <v>972</v>
      </c>
      <c r="I1770" s="141" t="str">
        <f t="shared" si="148"/>
        <v>999</v>
      </c>
      <c r="J1770" s="141" t="s">
        <v>4327</v>
      </c>
      <c r="K1770" s="141">
        <v>2663</v>
      </c>
      <c r="L1770" s="141">
        <v>1</v>
      </c>
      <c r="M1770" s="141">
        <v>0</v>
      </c>
      <c r="N1770" s="141">
        <v>1000</v>
      </c>
      <c r="O1770" s="141" t="s">
        <v>4381</v>
      </c>
      <c r="P1770" s="141"/>
    </row>
    <row r="1771" spans="1:16" ht="25.5">
      <c r="A1771" s="141">
        <v>76807</v>
      </c>
      <c r="B1771" s="141" t="s">
        <v>4325</v>
      </c>
      <c r="C1771" s="142">
        <v>41201</v>
      </c>
      <c r="D1771" s="141">
        <v>757</v>
      </c>
      <c r="E1771" s="141" t="str">
        <f t="shared" si="147"/>
        <v>001</v>
      </c>
      <c r="F1771" s="141" t="s">
        <v>4326</v>
      </c>
      <c r="G1771" s="141" t="str">
        <f t="shared" si="150"/>
        <v>1476</v>
      </c>
      <c r="H1771" s="141" t="s">
        <v>972</v>
      </c>
      <c r="I1771" s="141" t="str">
        <f t="shared" si="148"/>
        <v>999</v>
      </c>
      <c r="J1771" s="141" t="s">
        <v>4327</v>
      </c>
      <c r="K1771" s="141">
        <v>3386</v>
      </c>
      <c r="L1771" s="141">
        <v>1</v>
      </c>
      <c r="M1771" s="141">
        <v>0</v>
      </c>
      <c r="N1771" s="141">
        <v>442000</v>
      </c>
      <c r="O1771" s="141" t="s">
        <v>4327</v>
      </c>
      <c r="P1771" s="141"/>
    </row>
    <row r="1772" spans="1:16" ht="25.5">
      <c r="A1772" s="141">
        <v>76807</v>
      </c>
      <c r="B1772" s="141" t="s">
        <v>4325</v>
      </c>
      <c r="C1772" s="142">
        <v>41201</v>
      </c>
      <c r="D1772" s="141">
        <v>340</v>
      </c>
      <c r="E1772" s="141" t="str">
        <f t="shared" si="147"/>
        <v>001</v>
      </c>
      <c r="F1772" s="141" t="s">
        <v>4326</v>
      </c>
      <c r="G1772" s="141" t="str">
        <f t="shared" ref="G1772:G1779" si="151">"1477"</f>
        <v>1477</v>
      </c>
      <c r="H1772" s="141" t="s">
        <v>4816</v>
      </c>
      <c r="I1772" s="141" t="str">
        <f t="shared" si="148"/>
        <v>999</v>
      </c>
      <c r="J1772" s="141" t="s">
        <v>4327</v>
      </c>
      <c r="K1772" s="141">
        <v>534</v>
      </c>
      <c r="L1772" s="141">
        <v>1</v>
      </c>
      <c r="M1772" s="141">
        <v>0</v>
      </c>
      <c r="N1772" s="141">
        <v>2000</v>
      </c>
      <c r="O1772" s="141" t="s">
        <v>4328</v>
      </c>
      <c r="P1772" s="141" t="s">
        <v>4700</v>
      </c>
    </row>
    <row r="1773" spans="1:16" ht="25.5">
      <c r="A1773" s="141">
        <v>76807</v>
      </c>
      <c r="B1773" s="141" t="s">
        <v>4325</v>
      </c>
      <c r="C1773" s="142">
        <v>41201</v>
      </c>
      <c r="D1773" s="141">
        <v>340</v>
      </c>
      <c r="E1773" s="141" t="str">
        <f t="shared" si="147"/>
        <v>001</v>
      </c>
      <c r="F1773" s="141" t="s">
        <v>4326</v>
      </c>
      <c r="G1773" s="141" t="str">
        <f t="shared" si="151"/>
        <v>1477</v>
      </c>
      <c r="H1773" s="141" t="s">
        <v>4816</v>
      </c>
      <c r="I1773" s="141" t="str">
        <f t="shared" si="148"/>
        <v>999</v>
      </c>
      <c r="J1773" s="141" t="s">
        <v>4327</v>
      </c>
      <c r="K1773" s="141">
        <v>535</v>
      </c>
      <c r="L1773" s="141">
        <v>1</v>
      </c>
      <c r="M1773" s="141">
        <v>0</v>
      </c>
      <c r="N1773" s="141">
        <v>4000</v>
      </c>
      <c r="O1773" s="141" t="s">
        <v>4357</v>
      </c>
      <c r="P1773" s="141" t="s">
        <v>4362</v>
      </c>
    </row>
    <row r="1774" spans="1:16" ht="25.5">
      <c r="A1774" s="141">
        <v>76807</v>
      </c>
      <c r="B1774" s="141" t="s">
        <v>4325</v>
      </c>
      <c r="C1774" s="142">
        <v>41201</v>
      </c>
      <c r="D1774" s="141">
        <v>340</v>
      </c>
      <c r="E1774" s="141" t="str">
        <f t="shared" si="147"/>
        <v>001</v>
      </c>
      <c r="F1774" s="141" t="s">
        <v>4326</v>
      </c>
      <c r="G1774" s="141" t="str">
        <f t="shared" si="151"/>
        <v>1477</v>
      </c>
      <c r="H1774" s="141" t="s">
        <v>4816</v>
      </c>
      <c r="I1774" s="141" t="str">
        <f t="shared" si="148"/>
        <v>999</v>
      </c>
      <c r="J1774" s="141" t="s">
        <v>4327</v>
      </c>
      <c r="K1774" s="141">
        <v>536</v>
      </c>
      <c r="L1774" s="141">
        <v>1</v>
      </c>
      <c r="M1774" s="141">
        <v>0</v>
      </c>
      <c r="N1774" s="141">
        <v>4000</v>
      </c>
      <c r="O1774" s="141" t="s">
        <v>4364</v>
      </c>
      <c r="P1774" s="141" t="s">
        <v>4354</v>
      </c>
    </row>
    <row r="1775" spans="1:16" ht="25.5">
      <c r="A1775" s="141">
        <v>76807</v>
      </c>
      <c r="B1775" s="141" t="s">
        <v>4325</v>
      </c>
      <c r="C1775" s="142">
        <v>41201</v>
      </c>
      <c r="D1775" s="141">
        <v>340</v>
      </c>
      <c r="E1775" s="141" t="str">
        <f t="shared" si="147"/>
        <v>001</v>
      </c>
      <c r="F1775" s="141" t="s">
        <v>4326</v>
      </c>
      <c r="G1775" s="141" t="str">
        <f t="shared" si="151"/>
        <v>1477</v>
      </c>
      <c r="H1775" s="141" t="s">
        <v>4816</v>
      </c>
      <c r="I1775" s="141" t="str">
        <f t="shared" si="148"/>
        <v>999</v>
      </c>
      <c r="J1775" s="141" t="s">
        <v>4327</v>
      </c>
      <c r="K1775" s="141">
        <v>537</v>
      </c>
      <c r="L1775" s="141">
        <v>1</v>
      </c>
      <c r="M1775" s="141">
        <v>0</v>
      </c>
      <c r="N1775" s="141">
        <v>1000</v>
      </c>
      <c r="O1775" s="141" t="s">
        <v>4343</v>
      </c>
      <c r="P1775" s="141"/>
    </row>
    <row r="1776" spans="1:16" ht="25.5">
      <c r="A1776" s="141">
        <v>76807</v>
      </c>
      <c r="B1776" s="141" t="s">
        <v>4325</v>
      </c>
      <c r="C1776" s="142">
        <v>41201</v>
      </c>
      <c r="D1776" s="141">
        <v>340</v>
      </c>
      <c r="E1776" s="141" t="str">
        <f t="shared" si="147"/>
        <v>001</v>
      </c>
      <c r="F1776" s="141" t="s">
        <v>4326</v>
      </c>
      <c r="G1776" s="141" t="str">
        <f t="shared" si="151"/>
        <v>1477</v>
      </c>
      <c r="H1776" s="141" t="s">
        <v>4816</v>
      </c>
      <c r="I1776" s="141" t="str">
        <f t="shared" si="148"/>
        <v>999</v>
      </c>
      <c r="J1776" s="141" t="s">
        <v>4327</v>
      </c>
      <c r="K1776" s="141">
        <v>538</v>
      </c>
      <c r="L1776" s="141">
        <v>2</v>
      </c>
      <c r="M1776" s="141">
        <v>0</v>
      </c>
      <c r="N1776" s="141">
        <v>1000</v>
      </c>
      <c r="O1776" s="141" t="s">
        <v>4350</v>
      </c>
      <c r="P1776" s="141"/>
    </row>
    <row r="1777" spans="1:16" ht="25.5">
      <c r="A1777" s="141">
        <v>76807</v>
      </c>
      <c r="B1777" s="141" t="s">
        <v>4325</v>
      </c>
      <c r="C1777" s="142">
        <v>41201</v>
      </c>
      <c r="D1777" s="141">
        <v>340</v>
      </c>
      <c r="E1777" s="141" t="str">
        <f t="shared" si="147"/>
        <v>001</v>
      </c>
      <c r="F1777" s="141" t="s">
        <v>4326</v>
      </c>
      <c r="G1777" s="141" t="str">
        <f t="shared" si="151"/>
        <v>1477</v>
      </c>
      <c r="H1777" s="141" t="s">
        <v>4816</v>
      </c>
      <c r="I1777" s="141" t="str">
        <f t="shared" si="148"/>
        <v>999</v>
      </c>
      <c r="J1777" s="141" t="s">
        <v>4327</v>
      </c>
      <c r="K1777" s="141">
        <v>539</v>
      </c>
      <c r="L1777" s="141">
        <v>1</v>
      </c>
      <c r="M1777" s="141">
        <v>0</v>
      </c>
      <c r="N1777" s="141">
        <v>1000</v>
      </c>
      <c r="O1777" s="141" t="s">
        <v>4381</v>
      </c>
      <c r="P1777" s="141"/>
    </row>
    <row r="1778" spans="1:16" ht="25.5">
      <c r="A1778" s="141">
        <v>76807</v>
      </c>
      <c r="B1778" s="141" t="s">
        <v>4325</v>
      </c>
      <c r="C1778" s="142">
        <v>41201</v>
      </c>
      <c r="D1778" s="141">
        <v>340</v>
      </c>
      <c r="E1778" s="141" t="str">
        <f t="shared" si="147"/>
        <v>001</v>
      </c>
      <c r="F1778" s="141" t="s">
        <v>4326</v>
      </c>
      <c r="G1778" s="141" t="str">
        <f t="shared" si="151"/>
        <v>1477</v>
      </c>
      <c r="H1778" s="141" t="s">
        <v>4816</v>
      </c>
      <c r="I1778" s="141" t="str">
        <f t="shared" si="148"/>
        <v>999</v>
      </c>
      <c r="J1778" s="141" t="s">
        <v>4327</v>
      </c>
      <c r="K1778" s="141">
        <v>540</v>
      </c>
      <c r="L1778" s="141">
        <v>6</v>
      </c>
      <c r="M1778" s="141">
        <v>0</v>
      </c>
      <c r="N1778" s="141">
        <v>15000</v>
      </c>
      <c r="O1778" s="141" t="s">
        <v>4347</v>
      </c>
      <c r="P1778" s="141"/>
    </row>
    <row r="1779" spans="1:16" ht="25.5">
      <c r="A1779" s="141">
        <v>76807</v>
      </c>
      <c r="B1779" s="141" t="s">
        <v>4325</v>
      </c>
      <c r="C1779" s="142">
        <v>41201</v>
      </c>
      <c r="D1779" s="141">
        <v>340</v>
      </c>
      <c r="E1779" s="141" t="str">
        <f t="shared" si="147"/>
        <v>001</v>
      </c>
      <c r="F1779" s="141" t="s">
        <v>4326</v>
      </c>
      <c r="G1779" s="141" t="str">
        <f t="shared" si="151"/>
        <v>1477</v>
      </c>
      <c r="H1779" s="141" t="s">
        <v>4816</v>
      </c>
      <c r="I1779" s="141" t="str">
        <f t="shared" si="148"/>
        <v>999</v>
      </c>
      <c r="J1779" s="141" t="s">
        <v>4327</v>
      </c>
      <c r="K1779" s="141">
        <v>541</v>
      </c>
      <c r="L1779" s="141">
        <v>1</v>
      </c>
      <c r="M1779" s="141">
        <v>0</v>
      </c>
      <c r="N1779" s="141">
        <v>2000</v>
      </c>
      <c r="O1779" s="141" t="s">
        <v>4592</v>
      </c>
      <c r="P1779" s="141"/>
    </row>
    <row r="1780" spans="1:16" ht="25.5">
      <c r="A1780" s="141">
        <v>76807</v>
      </c>
      <c r="B1780" s="141" t="s">
        <v>4325</v>
      </c>
      <c r="C1780" s="142">
        <v>41201</v>
      </c>
      <c r="D1780" s="141">
        <v>457</v>
      </c>
      <c r="E1780" s="141" t="str">
        <f t="shared" si="147"/>
        <v>001</v>
      </c>
      <c r="F1780" s="141" t="s">
        <v>4326</v>
      </c>
      <c r="G1780" s="141" t="str">
        <f>"1478"</f>
        <v>1478</v>
      </c>
      <c r="H1780" s="141" t="s">
        <v>1657</v>
      </c>
      <c r="I1780" s="141" t="str">
        <f t="shared" si="148"/>
        <v>999</v>
      </c>
      <c r="J1780" s="141" t="s">
        <v>4327</v>
      </c>
      <c r="K1780" s="141">
        <v>948</v>
      </c>
      <c r="L1780" s="141">
        <v>10</v>
      </c>
      <c r="M1780" s="141">
        <v>0</v>
      </c>
      <c r="N1780" s="141">
        <v>33000</v>
      </c>
      <c r="O1780" s="141" t="s">
        <v>4334</v>
      </c>
      <c r="P1780" s="141" t="s">
        <v>4335</v>
      </c>
    </row>
    <row r="1781" spans="1:16" ht="25.5">
      <c r="A1781" s="141">
        <v>76807</v>
      </c>
      <c r="B1781" s="141" t="s">
        <v>4325</v>
      </c>
      <c r="C1781" s="142">
        <v>41201</v>
      </c>
      <c r="D1781" s="141">
        <v>457</v>
      </c>
      <c r="E1781" s="141" t="str">
        <f t="shared" si="147"/>
        <v>001</v>
      </c>
      <c r="F1781" s="141" t="s">
        <v>4326</v>
      </c>
      <c r="G1781" s="141" t="str">
        <f>"1478"</f>
        <v>1478</v>
      </c>
      <c r="H1781" s="141" t="s">
        <v>1657</v>
      </c>
      <c r="I1781" s="141" t="str">
        <f t="shared" si="148"/>
        <v>999</v>
      </c>
      <c r="J1781" s="141" t="s">
        <v>4327</v>
      </c>
      <c r="K1781" s="141">
        <v>954</v>
      </c>
      <c r="L1781" s="141">
        <v>1</v>
      </c>
      <c r="M1781" s="141">
        <v>0</v>
      </c>
      <c r="N1781" s="141">
        <v>6000</v>
      </c>
      <c r="O1781" s="141" t="s">
        <v>4468</v>
      </c>
      <c r="P1781" s="141" t="s">
        <v>4470</v>
      </c>
    </row>
    <row r="1782" spans="1:16" ht="25.5">
      <c r="A1782" s="141">
        <v>76807</v>
      </c>
      <c r="B1782" s="141" t="s">
        <v>4325</v>
      </c>
      <c r="C1782" s="142">
        <v>41201</v>
      </c>
      <c r="D1782" s="141">
        <v>751</v>
      </c>
      <c r="E1782" s="141" t="str">
        <f t="shared" si="147"/>
        <v>001</v>
      </c>
      <c r="F1782" s="141" t="s">
        <v>4326</v>
      </c>
      <c r="G1782" s="141" t="str">
        <f t="shared" ref="G1782:G1803" si="152">"1479"</f>
        <v>1479</v>
      </c>
      <c r="H1782" s="141" t="s">
        <v>4817</v>
      </c>
      <c r="I1782" s="141" t="str">
        <f t="shared" si="148"/>
        <v>999</v>
      </c>
      <c r="J1782" s="141" t="s">
        <v>4327</v>
      </c>
      <c r="K1782" s="141">
        <v>2509</v>
      </c>
      <c r="L1782" s="141">
        <v>1</v>
      </c>
      <c r="M1782" s="141">
        <v>0</v>
      </c>
      <c r="N1782" s="141">
        <v>29000</v>
      </c>
      <c r="O1782" s="141" t="s">
        <v>4337</v>
      </c>
      <c r="P1782" s="141" t="s">
        <v>4818</v>
      </c>
    </row>
    <row r="1783" spans="1:16" ht="25.5">
      <c r="A1783" s="141">
        <v>76807</v>
      </c>
      <c r="B1783" s="141" t="s">
        <v>4325</v>
      </c>
      <c r="C1783" s="142">
        <v>41201</v>
      </c>
      <c r="D1783" s="141">
        <v>751</v>
      </c>
      <c r="E1783" s="141" t="str">
        <f t="shared" si="147"/>
        <v>001</v>
      </c>
      <c r="F1783" s="141" t="s">
        <v>4326</v>
      </c>
      <c r="G1783" s="141" t="str">
        <f t="shared" si="152"/>
        <v>1479</v>
      </c>
      <c r="H1783" s="141" t="s">
        <v>4817</v>
      </c>
      <c r="I1783" s="141" t="str">
        <f t="shared" si="148"/>
        <v>999</v>
      </c>
      <c r="J1783" s="141" t="s">
        <v>4327</v>
      </c>
      <c r="K1783" s="141">
        <v>2510</v>
      </c>
      <c r="L1783" s="141">
        <v>1</v>
      </c>
      <c r="M1783" s="141">
        <v>0</v>
      </c>
      <c r="N1783" s="141">
        <v>8000</v>
      </c>
      <c r="O1783" s="141" t="s">
        <v>4420</v>
      </c>
      <c r="P1783" s="141" t="s">
        <v>4819</v>
      </c>
    </row>
    <row r="1784" spans="1:16" ht="25.5">
      <c r="A1784" s="141">
        <v>76807</v>
      </c>
      <c r="B1784" s="141" t="s">
        <v>4325</v>
      </c>
      <c r="C1784" s="142">
        <v>41201</v>
      </c>
      <c r="D1784" s="141">
        <v>751</v>
      </c>
      <c r="E1784" s="141" t="str">
        <f t="shared" si="147"/>
        <v>001</v>
      </c>
      <c r="F1784" s="141" t="s">
        <v>4326</v>
      </c>
      <c r="G1784" s="141" t="str">
        <f t="shared" si="152"/>
        <v>1479</v>
      </c>
      <c r="H1784" s="141" t="s">
        <v>4817</v>
      </c>
      <c r="I1784" s="141" t="str">
        <f t="shared" si="148"/>
        <v>999</v>
      </c>
      <c r="J1784" s="141" t="s">
        <v>4327</v>
      </c>
      <c r="K1784" s="141">
        <v>2511</v>
      </c>
      <c r="L1784" s="141">
        <v>1</v>
      </c>
      <c r="M1784" s="141">
        <v>0</v>
      </c>
      <c r="N1784" s="141">
        <v>7000</v>
      </c>
      <c r="O1784" s="141" t="s">
        <v>4357</v>
      </c>
      <c r="P1784" s="141" t="s">
        <v>4548</v>
      </c>
    </row>
    <row r="1785" spans="1:16" ht="25.5">
      <c r="A1785" s="141">
        <v>76807</v>
      </c>
      <c r="B1785" s="141" t="s">
        <v>4325</v>
      </c>
      <c r="C1785" s="142">
        <v>41201</v>
      </c>
      <c r="D1785" s="141">
        <v>751</v>
      </c>
      <c r="E1785" s="141" t="str">
        <f t="shared" si="147"/>
        <v>001</v>
      </c>
      <c r="F1785" s="141" t="s">
        <v>4326</v>
      </c>
      <c r="G1785" s="141" t="str">
        <f t="shared" si="152"/>
        <v>1479</v>
      </c>
      <c r="H1785" s="141" t="s">
        <v>4817</v>
      </c>
      <c r="I1785" s="141" t="str">
        <f t="shared" si="148"/>
        <v>999</v>
      </c>
      <c r="J1785" s="141" t="s">
        <v>4327</v>
      </c>
      <c r="K1785" s="141">
        <v>2512</v>
      </c>
      <c r="L1785" s="141">
        <v>4</v>
      </c>
      <c r="M1785" s="141">
        <v>0</v>
      </c>
      <c r="N1785" s="141">
        <v>32000</v>
      </c>
      <c r="O1785" s="141" t="s">
        <v>4357</v>
      </c>
      <c r="P1785" s="141" t="s">
        <v>4547</v>
      </c>
    </row>
    <row r="1786" spans="1:16" ht="25.5">
      <c r="A1786" s="141">
        <v>76807</v>
      </c>
      <c r="B1786" s="141" t="s">
        <v>4325</v>
      </c>
      <c r="C1786" s="142">
        <v>41201</v>
      </c>
      <c r="D1786" s="141">
        <v>751</v>
      </c>
      <c r="E1786" s="141" t="str">
        <f t="shared" si="147"/>
        <v>001</v>
      </c>
      <c r="F1786" s="141" t="s">
        <v>4326</v>
      </c>
      <c r="G1786" s="141" t="str">
        <f t="shared" si="152"/>
        <v>1479</v>
      </c>
      <c r="H1786" s="141" t="s">
        <v>4817</v>
      </c>
      <c r="I1786" s="141" t="str">
        <f t="shared" si="148"/>
        <v>999</v>
      </c>
      <c r="J1786" s="141" t="s">
        <v>4327</v>
      </c>
      <c r="K1786" s="141">
        <v>2513</v>
      </c>
      <c r="L1786" s="141">
        <v>1</v>
      </c>
      <c r="M1786" s="141">
        <v>0</v>
      </c>
      <c r="N1786" s="141">
        <v>9000</v>
      </c>
      <c r="O1786" s="141" t="s">
        <v>4357</v>
      </c>
      <c r="P1786" s="141" t="s">
        <v>4628</v>
      </c>
    </row>
    <row r="1787" spans="1:16" ht="25.5">
      <c r="A1787" s="141">
        <v>76807</v>
      </c>
      <c r="B1787" s="141" t="s">
        <v>4325</v>
      </c>
      <c r="C1787" s="142">
        <v>41201</v>
      </c>
      <c r="D1787" s="141">
        <v>751</v>
      </c>
      <c r="E1787" s="141" t="str">
        <f t="shared" si="147"/>
        <v>001</v>
      </c>
      <c r="F1787" s="141" t="s">
        <v>4326</v>
      </c>
      <c r="G1787" s="141" t="str">
        <f t="shared" si="152"/>
        <v>1479</v>
      </c>
      <c r="H1787" s="141" t="s">
        <v>4817</v>
      </c>
      <c r="I1787" s="141" t="str">
        <f t="shared" si="148"/>
        <v>999</v>
      </c>
      <c r="J1787" s="141" t="s">
        <v>4327</v>
      </c>
      <c r="K1787" s="141">
        <v>2514</v>
      </c>
      <c r="L1787" s="141">
        <v>2</v>
      </c>
      <c r="M1787" s="141">
        <v>0</v>
      </c>
      <c r="N1787" s="141">
        <v>19000</v>
      </c>
      <c r="O1787" s="141" t="s">
        <v>4357</v>
      </c>
      <c r="P1787" s="141" t="s">
        <v>4546</v>
      </c>
    </row>
    <row r="1788" spans="1:16" ht="25.5">
      <c r="A1788" s="141">
        <v>76807</v>
      </c>
      <c r="B1788" s="141" t="s">
        <v>4325</v>
      </c>
      <c r="C1788" s="142">
        <v>41201</v>
      </c>
      <c r="D1788" s="141">
        <v>751</v>
      </c>
      <c r="E1788" s="141" t="str">
        <f t="shared" si="147"/>
        <v>001</v>
      </c>
      <c r="F1788" s="141" t="s">
        <v>4326</v>
      </c>
      <c r="G1788" s="141" t="str">
        <f t="shared" si="152"/>
        <v>1479</v>
      </c>
      <c r="H1788" s="141" t="s">
        <v>4817</v>
      </c>
      <c r="I1788" s="141" t="str">
        <f t="shared" si="148"/>
        <v>999</v>
      </c>
      <c r="J1788" s="141" t="s">
        <v>4327</v>
      </c>
      <c r="K1788" s="141">
        <v>2515</v>
      </c>
      <c r="L1788" s="141">
        <v>1</v>
      </c>
      <c r="M1788" s="141">
        <v>0</v>
      </c>
      <c r="N1788" s="141">
        <v>10000</v>
      </c>
      <c r="O1788" s="141" t="s">
        <v>4357</v>
      </c>
      <c r="P1788" s="141" t="s">
        <v>4820</v>
      </c>
    </row>
    <row r="1789" spans="1:16" ht="25.5">
      <c r="A1789" s="141">
        <v>76807</v>
      </c>
      <c r="B1789" s="141" t="s">
        <v>4325</v>
      </c>
      <c r="C1789" s="142">
        <v>41201</v>
      </c>
      <c r="D1789" s="141">
        <v>751</v>
      </c>
      <c r="E1789" s="141" t="str">
        <f t="shared" si="147"/>
        <v>001</v>
      </c>
      <c r="F1789" s="141" t="s">
        <v>4326</v>
      </c>
      <c r="G1789" s="141" t="str">
        <f t="shared" si="152"/>
        <v>1479</v>
      </c>
      <c r="H1789" s="141" t="s">
        <v>4817</v>
      </c>
      <c r="I1789" s="141" t="str">
        <f t="shared" si="148"/>
        <v>999</v>
      </c>
      <c r="J1789" s="141" t="s">
        <v>4327</v>
      </c>
      <c r="K1789" s="141">
        <v>2516</v>
      </c>
      <c r="L1789" s="141">
        <v>1</v>
      </c>
      <c r="M1789" s="141">
        <v>0</v>
      </c>
      <c r="N1789" s="141">
        <v>15000</v>
      </c>
      <c r="O1789" s="141" t="s">
        <v>4396</v>
      </c>
      <c r="P1789" s="141"/>
    </row>
    <row r="1790" spans="1:16" ht="25.5">
      <c r="A1790" s="141">
        <v>76807</v>
      </c>
      <c r="B1790" s="141" t="s">
        <v>4325</v>
      </c>
      <c r="C1790" s="142">
        <v>41201</v>
      </c>
      <c r="D1790" s="141">
        <v>751</v>
      </c>
      <c r="E1790" s="141" t="str">
        <f t="shared" si="147"/>
        <v>001</v>
      </c>
      <c r="F1790" s="141" t="s">
        <v>4326</v>
      </c>
      <c r="G1790" s="141" t="str">
        <f t="shared" si="152"/>
        <v>1479</v>
      </c>
      <c r="H1790" s="141" t="s">
        <v>4817</v>
      </c>
      <c r="I1790" s="141" t="str">
        <f t="shared" si="148"/>
        <v>999</v>
      </c>
      <c r="J1790" s="141" t="s">
        <v>4327</v>
      </c>
      <c r="K1790" s="141">
        <v>2517</v>
      </c>
      <c r="L1790" s="141">
        <v>1</v>
      </c>
      <c r="M1790" s="141">
        <v>0</v>
      </c>
      <c r="N1790" s="141">
        <v>7000</v>
      </c>
      <c r="O1790" s="141" t="s">
        <v>4364</v>
      </c>
      <c r="P1790" s="141" t="s">
        <v>4821</v>
      </c>
    </row>
    <row r="1791" spans="1:16" ht="25.5">
      <c r="A1791" s="141">
        <v>76807</v>
      </c>
      <c r="B1791" s="141" t="s">
        <v>4325</v>
      </c>
      <c r="C1791" s="142">
        <v>41201</v>
      </c>
      <c r="D1791" s="141">
        <v>751</v>
      </c>
      <c r="E1791" s="141" t="str">
        <f t="shared" si="147"/>
        <v>001</v>
      </c>
      <c r="F1791" s="141" t="s">
        <v>4326</v>
      </c>
      <c r="G1791" s="141" t="str">
        <f t="shared" si="152"/>
        <v>1479</v>
      </c>
      <c r="H1791" s="141" t="s">
        <v>4817</v>
      </c>
      <c r="I1791" s="141" t="str">
        <f t="shared" si="148"/>
        <v>999</v>
      </c>
      <c r="J1791" s="141" t="s">
        <v>4327</v>
      </c>
      <c r="K1791" s="141">
        <v>2518</v>
      </c>
      <c r="L1791" s="141">
        <v>1</v>
      </c>
      <c r="M1791" s="141">
        <v>0</v>
      </c>
      <c r="N1791" s="141">
        <v>3000</v>
      </c>
      <c r="O1791" s="141" t="s">
        <v>4364</v>
      </c>
      <c r="P1791" s="141" t="s">
        <v>4365</v>
      </c>
    </row>
    <row r="1792" spans="1:16" ht="25.5">
      <c r="A1792" s="141">
        <v>76807</v>
      </c>
      <c r="B1792" s="141" t="s">
        <v>4325</v>
      </c>
      <c r="C1792" s="142">
        <v>41201</v>
      </c>
      <c r="D1792" s="141">
        <v>751</v>
      </c>
      <c r="E1792" s="141" t="str">
        <f t="shared" si="147"/>
        <v>001</v>
      </c>
      <c r="F1792" s="141" t="s">
        <v>4326</v>
      </c>
      <c r="G1792" s="141" t="str">
        <f t="shared" si="152"/>
        <v>1479</v>
      </c>
      <c r="H1792" s="141" t="s">
        <v>4817</v>
      </c>
      <c r="I1792" s="141" t="str">
        <f t="shared" si="148"/>
        <v>999</v>
      </c>
      <c r="J1792" s="141" t="s">
        <v>4327</v>
      </c>
      <c r="K1792" s="141">
        <v>2519</v>
      </c>
      <c r="L1792" s="141">
        <v>1</v>
      </c>
      <c r="M1792" s="141">
        <v>0</v>
      </c>
      <c r="N1792" s="141">
        <v>4000</v>
      </c>
      <c r="O1792" s="141" t="s">
        <v>4364</v>
      </c>
      <c r="P1792" s="141" t="s">
        <v>4354</v>
      </c>
    </row>
    <row r="1793" spans="1:16" ht="25.5">
      <c r="A1793" s="141">
        <v>76807</v>
      </c>
      <c r="B1793" s="141" t="s">
        <v>4325</v>
      </c>
      <c r="C1793" s="142">
        <v>41201</v>
      </c>
      <c r="D1793" s="141">
        <v>751</v>
      </c>
      <c r="E1793" s="141" t="str">
        <f t="shared" si="147"/>
        <v>001</v>
      </c>
      <c r="F1793" s="141" t="s">
        <v>4326</v>
      </c>
      <c r="G1793" s="141" t="str">
        <f t="shared" si="152"/>
        <v>1479</v>
      </c>
      <c r="H1793" s="141" t="s">
        <v>4817</v>
      </c>
      <c r="I1793" s="141" t="str">
        <f t="shared" si="148"/>
        <v>999</v>
      </c>
      <c r="J1793" s="141" t="s">
        <v>4327</v>
      </c>
      <c r="K1793" s="141">
        <v>2520</v>
      </c>
      <c r="L1793" s="141">
        <v>1</v>
      </c>
      <c r="M1793" s="141">
        <v>0</v>
      </c>
      <c r="N1793" s="141">
        <v>9000</v>
      </c>
      <c r="O1793" s="141" t="s">
        <v>4550</v>
      </c>
      <c r="P1793" s="141" t="s">
        <v>4372</v>
      </c>
    </row>
    <row r="1794" spans="1:16" ht="25.5">
      <c r="A1794" s="141">
        <v>76807</v>
      </c>
      <c r="B1794" s="141" t="s">
        <v>4325</v>
      </c>
      <c r="C1794" s="142">
        <v>41201</v>
      </c>
      <c r="D1794" s="141">
        <v>751</v>
      </c>
      <c r="E1794" s="141" t="str">
        <f t="shared" ref="E1794:E1857" si="153">"001"</f>
        <v>001</v>
      </c>
      <c r="F1794" s="141" t="s">
        <v>4326</v>
      </c>
      <c r="G1794" s="141" t="str">
        <f t="shared" si="152"/>
        <v>1479</v>
      </c>
      <c r="H1794" s="141" t="s">
        <v>4817</v>
      </c>
      <c r="I1794" s="141" t="str">
        <f t="shared" ref="I1794:I1857" si="154">"999"</f>
        <v>999</v>
      </c>
      <c r="J1794" s="141" t="s">
        <v>4327</v>
      </c>
      <c r="K1794" s="141">
        <v>2521</v>
      </c>
      <c r="L1794" s="141">
        <v>1</v>
      </c>
      <c r="M1794" s="141">
        <v>0</v>
      </c>
      <c r="N1794" s="141">
        <v>9000</v>
      </c>
      <c r="O1794" s="141" t="s">
        <v>4550</v>
      </c>
      <c r="P1794" s="141" t="s">
        <v>4372</v>
      </c>
    </row>
    <row r="1795" spans="1:16" ht="25.5">
      <c r="A1795" s="141">
        <v>76807</v>
      </c>
      <c r="B1795" s="141" t="s">
        <v>4325</v>
      </c>
      <c r="C1795" s="142">
        <v>41201</v>
      </c>
      <c r="D1795" s="141">
        <v>751</v>
      </c>
      <c r="E1795" s="141" t="str">
        <f t="shared" si="153"/>
        <v>001</v>
      </c>
      <c r="F1795" s="141" t="s">
        <v>4326</v>
      </c>
      <c r="G1795" s="141" t="str">
        <f t="shared" si="152"/>
        <v>1479</v>
      </c>
      <c r="H1795" s="141" t="s">
        <v>4817</v>
      </c>
      <c r="I1795" s="141" t="str">
        <f t="shared" si="154"/>
        <v>999</v>
      </c>
      <c r="J1795" s="141" t="s">
        <v>4327</v>
      </c>
      <c r="K1795" s="141">
        <v>2522</v>
      </c>
      <c r="L1795" s="141">
        <v>1</v>
      </c>
      <c r="M1795" s="141">
        <v>0</v>
      </c>
      <c r="N1795" s="141">
        <v>9000</v>
      </c>
      <c r="O1795" s="141" t="s">
        <v>4550</v>
      </c>
      <c r="P1795" s="141" t="s">
        <v>4372</v>
      </c>
    </row>
    <row r="1796" spans="1:16" ht="25.5">
      <c r="A1796" s="141">
        <v>76807</v>
      </c>
      <c r="B1796" s="141" t="s">
        <v>4325</v>
      </c>
      <c r="C1796" s="142">
        <v>41201</v>
      </c>
      <c r="D1796" s="141">
        <v>751</v>
      </c>
      <c r="E1796" s="141" t="str">
        <f t="shared" si="153"/>
        <v>001</v>
      </c>
      <c r="F1796" s="141" t="s">
        <v>4326</v>
      </c>
      <c r="G1796" s="141" t="str">
        <f t="shared" si="152"/>
        <v>1479</v>
      </c>
      <c r="H1796" s="141" t="s">
        <v>4817</v>
      </c>
      <c r="I1796" s="141" t="str">
        <f t="shared" si="154"/>
        <v>999</v>
      </c>
      <c r="J1796" s="141" t="s">
        <v>4327</v>
      </c>
      <c r="K1796" s="141">
        <v>2523</v>
      </c>
      <c r="L1796" s="141">
        <v>1</v>
      </c>
      <c r="M1796" s="141">
        <v>0</v>
      </c>
      <c r="N1796" s="141">
        <v>4000</v>
      </c>
      <c r="O1796" s="141" t="s">
        <v>4371</v>
      </c>
      <c r="P1796" s="141" t="s">
        <v>4372</v>
      </c>
    </row>
    <row r="1797" spans="1:16" ht="25.5">
      <c r="A1797" s="141">
        <v>76807</v>
      </c>
      <c r="B1797" s="141" t="s">
        <v>4325</v>
      </c>
      <c r="C1797" s="142">
        <v>41201</v>
      </c>
      <c r="D1797" s="141">
        <v>751</v>
      </c>
      <c r="E1797" s="141" t="str">
        <f t="shared" si="153"/>
        <v>001</v>
      </c>
      <c r="F1797" s="141" t="s">
        <v>4326</v>
      </c>
      <c r="G1797" s="141" t="str">
        <f t="shared" si="152"/>
        <v>1479</v>
      </c>
      <c r="H1797" s="141" t="s">
        <v>4817</v>
      </c>
      <c r="I1797" s="141" t="str">
        <f t="shared" si="154"/>
        <v>999</v>
      </c>
      <c r="J1797" s="141" t="s">
        <v>4327</v>
      </c>
      <c r="K1797" s="141">
        <v>2524</v>
      </c>
      <c r="L1797" s="141">
        <v>1</v>
      </c>
      <c r="M1797" s="141">
        <v>0</v>
      </c>
      <c r="N1797" s="141">
        <v>4000</v>
      </c>
      <c r="O1797" s="141" t="s">
        <v>4371</v>
      </c>
      <c r="P1797" s="141" t="s">
        <v>4372</v>
      </c>
    </row>
    <row r="1798" spans="1:16" ht="25.5">
      <c r="A1798" s="141">
        <v>76807</v>
      </c>
      <c r="B1798" s="141" t="s">
        <v>4325</v>
      </c>
      <c r="C1798" s="142">
        <v>41201</v>
      </c>
      <c r="D1798" s="141">
        <v>751</v>
      </c>
      <c r="E1798" s="141" t="str">
        <f t="shared" si="153"/>
        <v>001</v>
      </c>
      <c r="F1798" s="141" t="s">
        <v>4326</v>
      </c>
      <c r="G1798" s="141" t="str">
        <f t="shared" si="152"/>
        <v>1479</v>
      </c>
      <c r="H1798" s="141" t="s">
        <v>4817</v>
      </c>
      <c r="I1798" s="141" t="str">
        <f t="shared" si="154"/>
        <v>999</v>
      </c>
      <c r="J1798" s="141" t="s">
        <v>4327</v>
      </c>
      <c r="K1798" s="141">
        <v>2525</v>
      </c>
      <c r="L1798" s="141">
        <v>1</v>
      </c>
      <c r="M1798" s="141">
        <v>0</v>
      </c>
      <c r="N1798" s="141">
        <v>2000</v>
      </c>
      <c r="O1798" s="141" t="s">
        <v>4345</v>
      </c>
      <c r="P1798" s="141"/>
    </row>
    <row r="1799" spans="1:16" ht="25.5">
      <c r="A1799" s="141">
        <v>76807</v>
      </c>
      <c r="B1799" s="141" t="s">
        <v>4325</v>
      </c>
      <c r="C1799" s="142">
        <v>41201</v>
      </c>
      <c r="D1799" s="141">
        <v>751</v>
      </c>
      <c r="E1799" s="141" t="str">
        <f t="shared" si="153"/>
        <v>001</v>
      </c>
      <c r="F1799" s="141" t="s">
        <v>4326</v>
      </c>
      <c r="G1799" s="141" t="str">
        <f t="shared" si="152"/>
        <v>1479</v>
      </c>
      <c r="H1799" s="141" t="s">
        <v>4817</v>
      </c>
      <c r="I1799" s="141" t="str">
        <f t="shared" si="154"/>
        <v>999</v>
      </c>
      <c r="J1799" s="141" t="s">
        <v>4327</v>
      </c>
      <c r="K1799" s="141">
        <v>2526</v>
      </c>
      <c r="L1799" s="141">
        <v>3</v>
      </c>
      <c r="M1799" s="141">
        <v>0</v>
      </c>
      <c r="N1799" s="141">
        <v>2000</v>
      </c>
      <c r="O1799" s="141" t="s">
        <v>4403</v>
      </c>
      <c r="P1799" s="141"/>
    </row>
    <row r="1800" spans="1:16" ht="25.5">
      <c r="A1800" s="141">
        <v>76807</v>
      </c>
      <c r="B1800" s="141" t="s">
        <v>4325</v>
      </c>
      <c r="C1800" s="142">
        <v>41201</v>
      </c>
      <c r="D1800" s="141">
        <v>751</v>
      </c>
      <c r="E1800" s="141" t="str">
        <f t="shared" si="153"/>
        <v>001</v>
      </c>
      <c r="F1800" s="141" t="s">
        <v>4326</v>
      </c>
      <c r="G1800" s="141" t="str">
        <f t="shared" si="152"/>
        <v>1479</v>
      </c>
      <c r="H1800" s="141" t="s">
        <v>4817</v>
      </c>
      <c r="I1800" s="141" t="str">
        <f t="shared" si="154"/>
        <v>999</v>
      </c>
      <c r="J1800" s="141" t="s">
        <v>4327</v>
      </c>
      <c r="K1800" s="141">
        <v>2527</v>
      </c>
      <c r="L1800" s="141">
        <v>1</v>
      </c>
      <c r="M1800" s="141">
        <v>0</v>
      </c>
      <c r="N1800" s="141">
        <v>1000</v>
      </c>
      <c r="O1800" s="141" t="s">
        <v>4343</v>
      </c>
      <c r="P1800" s="141"/>
    </row>
    <row r="1801" spans="1:16" ht="25.5">
      <c r="A1801" s="141">
        <v>76807</v>
      </c>
      <c r="B1801" s="141" t="s">
        <v>4325</v>
      </c>
      <c r="C1801" s="142">
        <v>41201</v>
      </c>
      <c r="D1801" s="141">
        <v>751</v>
      </c>
      <c r="E1801" s="141" t="str">
        <f t="shared" si="153"/>
        <v>001</v>
      </c>
      <c r="F1801" s="141" t="s">
        <v>4326</v>
      </c>
      <c r="G1801" s="141" t="str">
        <f t="shared" si="152"/>
        <v>1479</v>
      </c>
      <c r="H1801" s="141" t="s">
        <v>4817</v>
      </c>
      <c r="I1801" s="141" t="str">
        <f t="shared" si="154"/>
        <v>999</v>
      </c>
      <c r="J1801" s="141" t="s">
        <v>4327</v>
      </c>
      <c r="K1801" s="141">
        <v>2528</v>
      </c>
      <c r="L1801" s="141">
        <v>1</v>
      </c>
      <c r="M1801" s="141">
        <v>0</v>
      </c>
      <c r="N1801" s="141">
        <v>8000</v>
      </c>
      <c r="O1801" s="141" t="s">
        <v>4369</v>
      </c>
      <c r="P1801" s="141" t="s">
        <v>4812</v>
      </c>
    </row>
    <row r="1802" spans="1:16" ht="25.5">
      <c r="A1802" s="141">
        <v>76807</v>
      </c>
      <c r="B1802" s="141" t="s">
        <v>4325</v>
      </c>
      <c r="C1802" s="142">
        <v>41201</v>
      </c>
      <c r="D1802" s="141">
        <v>751</v>
      </c>
      <c r="E1802" s="141" t="str">
        <f t="shared" si="153"/>
        <v>001</v>
      </c>
      <c r="F1802" s="141" t="s">
        <v>4326</v>
      </c>
      <c r="G1802" s="141" t="str">
        <f t="shared" si="152"/>
        <v>1479</v>
      </c>
      <c r="H1802" s="141" t="s">
        <v>4817</v>
      </c>
      <c r="I1802" s="141" t="str">
        <f t="shared" si="154"/>
        <v>999</v>
      </c>
      <c r="J1802" s="141" t="s">
        <v>4327</v>
      </c>
      <c r="K1802" s="141">
        <v>2529</v>
      </c>
      <c r="L1802" s="141">
        <v>1</v>
      </c>
      <c r="M1802" s="141">
        <v>0</v>
      </c>
      <c r="N1802" s="141">
        <v>76000</v>
      </c>
      <c r="O1802" s="141" t="s">
        <v>4368</v>
      </c>
      <c r="P1802" s="141"/>
    </row>
    <row r="1803" spans="1:16" ht="25.5">
      <c r="A1803" s="141">
        <v>76807</v>
      </c>
      <c r="B1803" s="141" t="s">
        <v>4325</v>
      </c>
      <c r="C1803" s="142">
        <v>41201</v>
      </c>
      <c r="D1803" s="141">
        <v>751</v>
      </c>
      <c r="E1803" s="141" t="str">
        <f t="shared" si="153"/>
        <v>001</v>
      </c>
      <c r="F1803" s="141" t="s">
        <v>4326</v>
      </c>
      <c r="G1803" s="141" t="str">
        <f t="shared" si="152"/>
        <v>1479</v>
      </c>
      <c r="H1803" s="141" t="s">
        <v>4817</v>
      </c>
      <c r="I1803" s="141" t="str">
        <f t="shared" si="154"/>
        <v>999</v>
      </c>
      <c r="J1803" s="141" t="s">
        <v>4327</v>
      </c>
      <c r="K1803" s="141">
        <v>2530</v>
      </c>
      <c r="L1803" s="141">
        <v>2</v>
      </c>
      <c r="M1803" s="141">
        <v>0</v>
      </c>
      <c r="N1803" s="141">
        <v>4000</v>
      </c>
      <c r="O1803" s="141" t="s">
        <v>4673</v>
      </c>
      <c r="P1803" s="141"/>
    </row>
    <row r="1804" spans="1:16" ht="25.5">
      <c r="A1804" s="141">
        <v>76807</v>
      </c>
      <c r="B1804" s="141" t="s">
        <v>4325</v>
      </c>
      <c r="C1804" s="142">
        <v>41201</v>
      </c>
      <c r="D1804" s="141">
        <v>742</v>
      </c>
      <c r="E1804" s="141" t="str">
        <f t="shared" si="153"/>
        <v>001</v>
      </c>
      <c r="F1804" s="141" t="s">
        <v>4326</v>
      </c>
      <c r="G1804" s="141" t="str">
        <f t="shared" ref="G1804:G1827" si="155">"1481"</f>
        <v>1481</v>
      </c>
      <c r="H1804" s="141" t="s">
        <v>1001</v>
      </c>
      <c r="I1804" s="141" t="str">
        <f t="shared" si="154"/>
        <v>999</v>
      </c>
      <c r="J1804" s="141" t="s">
        <v>4327</v>
      </c>
      <c r="K1804" s="141">
        <v>2414</v>
      </c>
      <c r="L1804" s="141">
        <v>1</v>
      </c>
      <c r="M1804" s="141">
        <v>0</v>
      </c>
      <c r="N1804" s="141">
        <v>21000</v>
      </c>
      <c r="O1804" s="141" t="s">
        <v>4351</v>
      </c>
      <c r="P1804" s="141" t="s">
        <v>4514</v>
      </c>
    </row>
    <row r="1805" spans="1:16" ht="25.5">
      <c r="A1805" s="141">
        <v>76807</v>
      </c>
      <c r="B1805" s="141" t="s">
        <v>4325</v>
      </c>
      <c r="C1805" s="142">
        <v>41201</v>
      </c>
      <c r="D1805" s="141">
        <v>742</v>
      </c>
      <c r="E1805" s="141" t="str">
        <f t="shared" si="153"/>
        <v>001</v>
      </c>
      <c r="F1805" s="141" t="s">
        <v>4326</v>
      </c>
      <c r="G1805" s="141" t="str">
        <f t="shared" si="155"/>
        <v>1481</v>
      </c>
      <c r="H1805" s="141" t="s">
        <v>1001</v>
      </c>
      <c r="I1805" s="141" t="str">
        <f t="shared" si="154"/>
        <v>999</v>
      </c>
      <c r="J1805" s="141" t="s">
        <v>4327</v>
      </c>
      <c r="K1805" s="141">
        <v>2415</v>
      </c>
      <c r="L1805" s="141">
        <v>1</v>
      </c>
      <c r="M1805" s="141">
        <v>0</v>
      </c>
      <c r="N1805" s="141">
        <v>18000</v>
      </c>
      <c r="O1805" s="141" t="s">
        <v>4337</v>
      </c>
      <c r="P1805" s="141" t="s">
        <v>4822</v>
      </c>
    </row>
    <row r="1806" spans="1:16" ht="25.5">
      <c r="A1806" s="141">
        <v>76807</v>
      </c>
      <c r="B1806" s="141" t="s">
        <v>4325</v>
      </c>
      <c r="C1806" s="142">
        <v>41201</v>
      </c>
      <c r="D1806" s="141">
        <v>742</v>
      </c>
      <c r="E1806" s="141" t="str">
        <f t="shared" si="153"/>
        <v>001</v>
      </c>
      <c r="F1806" s="141" t="s">
        <v>4326</v>
      </c>
      <c r="G1806" s="141" t="str">
        <f t="shared" si="155"/>
        <v>1481</v>
      </c>
      <c r="H1806" s="141" t="s">
        <v>1001</v>
      </c>
      <c r="I1806" s="141" t="str">
        <f t="shared" si="154"/>
        <v>999</v>
      </c>
      <c r="J1806" s="141" t="s">
        <v>4327</v>
      </c>
      <c r="K1806" s="141">
        <v>2416</v>
      </c>
      <c r="L1806" s="141">
        <v>2</v>
      </c>
      <c r="M1806" s="141">
        <v>0</v>
      </c>
      <c r="N1806" s="141">
        <v>15000</v>
      </c>
      <c r="O1806" s="141" t="s">
        <v>4357</v>
      </c>
      <c r="P1806" s="141" t="s">
        <v>4562</v>
      </c>
    </row>
    <row r="1807" spans="1:16" ht="25.5">
      <c r="A1807" s="141">
        <v>76807</v>
      </c>
      <c r="B1807" s="141" t="s">
        <v>4325</v>
      </c>
      <c r="C1807" s="142">
        <v>41201</v>
      </c>
      <c r="D1807" s="141">
        <v>742</v>
      </c>
      <c r="E1807" s="141" t="str">
        <f t="shared" si="153"/>
        <v>001</v>
      </c>
      <c r="F1807" s="141" t="s">
        <v>4326</v>
      </c>
      <c r="G1807" s="141" t="str">
        <f t="shared" si="155"/>
        <v>1481</v>
      </c>
      <c r="H1807" s="141" t="s">
        <v>1001</v>
      </c>
      <c r="I1807" s="141" t="str">
        <f t="shared" si="154"/>
        <v>999</v>
      </c>
      <c r="J1807" s="141" t="s">
        <v>4327</v>
      </c>
      <c r="K1807" s="141">
        <v>2417</v>
      </c>
      <c r="L1807" s="141">
        <v>3</v>
      </c>
      <c r="M1807" s="141">
        <v>0</v>
      </c>
      <c r="N1807" s="141">
        <v>25000</v>
      </c>
      <c r="O1807" s="141" t="s">
        <v>4357</v>
      </c>
      <c r="P1807" s="141" t="s">
        <v>4561</v>
      </c>
    </row>
    <row r="1808" spans="1:16" ht="25.5">
      <c r="A1808" s="141">
        <v>76807</v>
      </c>
      <c r="B1808" s="141" t="s">
        <v>4325</v>
      </c>
      <c r="C1808" s="142">
        <v>41201</v>
      </c>
      <c r="D1808" s="141">
        <v>742</v>
      </c>
      <c r="E1808" s="141" t="str">
        <f t="shared" si="153"/>
        <v>001</v>
      </c>
      <c r="F1808" s="141" t="s">
        <v>4326</v>
      </c>
      <c r="G1808" s="141" t="str">
        <f t="shared" si="155"/>
        <v>1481</v>
      </c>
      <c r="H1808" s="141" t="s">
        <v>1001</v>
      </c>
      <c r="I1808" s="141" t="str">
        <f t="shared" si="154"/>
        <v>999</v>
      </c>
      <c r="J1808" s="141" t="s">
        <v>4327</v>
      </c>
      <c r="K1808" s="141">
        <v>2418</v>
      </c>
      <c r="L1808" s="141">
        <v>1</v>
      </c>
      <c r="M1808" s="141">
        <v>0</v>
      </c>
      <c r="N1808" s="141">
        <v>9000</v>
      </c>
      <c r="O1808" s="141" t="s">
        <v>4357</v>
      </c>
      <c r="P1808" s="141" t="s">
        <v>4360</v>
      </c>
    </row>
    <row r="1809" spans="1:16" ht="25.5">
      <c r="A1809" s="141">
        <v>76807</v>
      </c>
      <c r="B1809" s="141" t="s">
        <v>4325</v>
      </c>
      <c r="C1809" s="142">
        <v>41201</v>
      </c>
      <c r="D1809" s="141">
        <v>742</v>
      </c>
      <c r="E1809" s="141" t="str">
        <f t="shared" si="153"/>
        <v>001</v>
      </c>
      <c r="F1809" s="141" t="s">
        <v>4326</v>
      </c>
      <c r="G1809" s="141" t="str">
        <f t="shared" si="155"/>
        <v>1481</v>
      </c>
      <c r="H1809" s="141" t="s">
        <v>1001</v>
      </c>
      <c r="I1809" s="141" t="str">
        <f t="shared" si="154"/>
        <v>999</v>
      </c>
      <c r="J1809" s="141" t="s">
        <v>4327</v>
      </c>
      <c r="K1809" s="141">
        <v>2419</v>
      </c>
      <c r="L1809" s="141">
        <v>2</v>
      </c>
      <c r="M1809" s="141">
        <v>0</v>
      </c>
      <c r="N1809" s="141">
        <v>25000</v>
      </c>
      <c r="O1809" s="141" t="s">
        <v>4357</v>
      </c>
      <c r="P1809" s="141" t="s">
        <v>4797</v>
      </c>
    </row>
    <row r="1810" spans="1:16" ht="25.5">
      <c r="A1810" s="141">
        <v>76807</v>
      </c>
      <c r="B1810" s="141" t="s">
        <v>4325</v>
      </c>
      <c r="C1810" s="142">
        <v>41201</v>
      </c>
      <c r="D1810" s="141">
        <v>742</v>
      </c>
      <c r="E1810" s="141" t="str">
        <f t="shared" si="153"/>
        <v>001</v>
      </c>
      <c r="F1810" s="141" t="s">
        <v>4326</v>
      </c>
      <c r="G1810" s="141" t="str">
        <f t="shared" si="155"/>
        <v>1481</v>
      </c>
      <c r="H1810" s="141" t="s">
        <v>1001</v>
      </c>
      <c r="I1810" s="141" t="str">
        <f t="shared" si="154"/>
        <v>999</v>
      </c>
      <c r="J1810" s="141" t="s">
        <v>4327</v>
      </c>
      <c r="K1810" s="141">
        <v>2420</v>
      </c>
      <c r="L1810" s="141">
        <v>1</v>
      </c>
      <c r="M1810" s="141">
        <v>0</v>
      </c>
      <c r="N1810" s="141">
        <v>6000</v>
      </c>
      <c r="O1810" s="141" t="s">
        <v>4540</v>
      </c>
      <c r="P1810" s="141"/>
    </row>
    <row r="1811" spans="1:16" ht="25.5">
      <c r="A1811" s="141">
        <v>76807</v>
      </c>
      <c r="B1811" s="141" t="s">
        <v>4325</v>
      </c>
      <c r="C1811" s="142">
        <v>41201</v>
      </c>
      <c r="D1811" s="141">
        <v>742</v>
      </c>
      <c r="E1811" s="141" t="str">
        <f t="shared" si="153"/>
        <v>001</v>
      </c>
      <c r="F1811" s="141" t="s">
        <v>4326</v>
      </c>
      <c r="G1811" s="141" t="str">
        <f t="shared" si="155"/>
        <v>1481</v>
      </c>
      <c r="H1811" s="141" t="s">
        <v>1001</v>
      </c>
      <c r="I1811" s="141" t="str">
        <f t="shared" si="154"/>
        <v>999</v>
      </c>
      <c r="J1811" s="141" t="s">
        <v>4327</v>
      </c>
      <c r="K1811" s="141">
        <v>2421</v>
      </c>
      <c r="L1811" s="141">
        <v>1</v>
      </c>
      <c r="M1811" s="141">
        <v>0</v>
      </c>
      <c r="N1811" s="141">
        <v>25000</v>
      </c>
      <c r="O1811" s="141" t="s">
        <v>4399</v>
      </c>
      <c r="P1811" s="141" t="s">
        <v>4823</v>
      </c>
    </row>
    <row r="1812" spans="1:16" ht="25.5">
      <c r="A1812" s="141">
        <v>76807</v>
      </c>
      <c r="B1812" s="141" t="s">
        <v>4325</v>
      </c>
      <c r="C1812" s="142">
        <v>41201</v>
      </c>
      <c r="D1812" s="141">
        <v>742</v>
      </c>
      <c r="E1812" s="141" t="str">
        <f t="shared" si="153"/>
        <v>001</v>
      </c>
      <c r="F1812" s="141" t="s">
        <v>4326</v>
      </c>
      <c r="G1812" s="141" t="str">
        <f t="shared" si="155"/>
        <v>1481</v>
      </c>
      <c r="H1812" s="141" t="s">
        <v>1001</v>
      </c>
      <c r="I1812" s="141" t="str">
        <f t="shared" si="154"/>
        <v>999</v>
      </c>
      <c r="J1812" s="141" t="s">
        <v>4327</v>
      </c>
      <c r="K1812" s="141">
        <v>2422</v>
      </c>
      <c r="L1812" s="141">
        <v>1</v>
      </c>
      <c r="M1812" s="141">
        <v>0</v>
      </c>
      <c r="N1812" s="141">
        <v>75000</v>
      </c>
      <c r="O1812" s="141" t="s">
        <v>4368</v>
      </c>
      <c r="P1812" s="141"/>
    </row>
    <row r="1813" spans="1:16" ht="25.5">
      <c r="A1813" s="141">
        <v>76807</v>
      </c>
      <c r="B1813" s="141" t="s">
        <v>4325</v>
      </c>
      <c r="C1813" s="142">
        <v>41201</v>
      </c>
      <c r="D1813" s="141">
        <v>742</v>
      </c>
      <c r="E1813" s="141" t="str">
        <f t="shared" si="153"/>
        <v>001</v>
      </c>
      <c r="F1813" s="141" t="s">
        <v>4326</v>
      </c>
      <c r="G1813" s="141" t="str">
        <f t="shared" si="155"/>
        <v>1481</v>
      </c>
      <c r="H1813" s="141" t="s">
        <v>1001</v>
      </c>
      <c r="I1813" s="141" t="str">
        <f t="shared" si="154"/>
        <v>999</v>
      </c>
      <c r="J1813" s="141" t="s">
        <v>4327</v>
      </c>
      <c r="K1813" s="141">
        <v>2423</v>
      </c>
      <c r="L1813" s="141">
        <v>6</v>
      </c>
      <c r="M1813" s="141">
        <v>0</v>
      </c>
      <c r="N1813" s="141">
        <v>4000</v>
      </c>
      <c r="O1813" s="141" t="s">
        <v>4343</v>
      </c>
      <c r="P1813" s="141"/>
    </row>
    <row r="1814" spans="1:16" ht="25.5">
      <c r="A1814" s="141">
        <v>76807</v>
      </c>
      <c r="B1814" s="141" t="s">
        <v>4325</v>
      </c>
      <c r="C1814" s="142">
        <v>41201</v>
      </c>
      <c r="D1814" s="141">
        <v>742</v>
      </c>
      <c r="E1814" s="141" t="str">
        <f t="shared" si="153"/>
        <v>001</v>
      </c>
      <c r="F1814" s="141" t="s">
        <v>4326</v>
      </c>
      <c r="G1814" s="141" t="str">
        <f t="shared" si="155"/>
        <v>1481</v>
      </c>
      <c r="H1814" s="141" t="s">
        <v>1001</v>
      </c>
      <c r="I1814" s="141" t="str">
        <f t="shared" si="154"/>
        <v>999</v>
      </c>
      <c r="J1814" s="141" t="s">
        <v>4327</v>
      </c>
      <c r="K1814" s="141">
        <v>2424</v>
      </c>
      <c r="L1814" s="141">
        <v>1</v>
      </c>
      <c r="M1814" s="141">
        <v>0</v>
      </c>
      <c r="N1814" s="141">
        <v>1000</v>
      </c>
      <c r="O1814" s="141" t="s">
        <v>4350</v>
      </c>
      <c r="P1814" s="141"/>
    </row>
    <row r="1815" spans="1:16" ht="25.5">
      <c r="A1815" s="141">
        <v>76807</v>
      </c>
      <c r="B1815" s="141" t="s">
        <v>4325</v>
      </c>
      <c r="C1815" s="142">
        <v>41201</v>
      </c>
      <c r="D1815" s="141">
        <v>742</v>
      </c>
      <c r="E1815" s="141" t="str">
        <f t="shared" si="153"/>
        <v>001</v>
      </c>
      <c r="F1815" s="141" t="s">
        <v>4326</v>
      </c>
      <c r="G1815" s="141" t="str">
        <f t="shared" si="155"/>
        <v>1481</v>
      </c>
      <c r="H1815" s="141" t="s">
        <v>1001</v>
      </c>
      <c r="I1815" s="141" t="str">
        <f t="shared" si="154"/>
        <v>999</v>
      </c>
      <c r="J1815" s="141" t="s">
        <v>4327</v>
      </c>
      <c r="K1815" s="141">
        <v>2425</v>
      </c>
      <c r="L1815" s="141">
        <v>1</v>
      </c>
      <c r="M1815" s="141">
        <v>0</v>
      </c>
      <c r="N1815" s="141">
        <v>7000</v>
      </c>
      <c r="O1815" s="141" t="s">
        <v>4369</v>
      </c>
      <c r="P1815" s="141" t="s">
        <v>4370</v>
      </c>
    </row>
    <row r="1816" spans="1:16" ht="25.5">
      <c r="A1816" s="141">
        <v>76807</v>
      </c>
      <c r="B1816" s="141" t="s">
        <v>4325</v>
      </c>
      <c r="C1816" s="142">
        <v>41201</v>
      </c>
      <c r="D1816" s="141">
        <v>742</v>
      </c>
      <c r="E1816" s="141" t="str">
        <f t="shared" si="153"/>
        <v>001</v>
      </c>
      <c r="F1816" s="141" t="s">
        <v>4326</v>
      </c>
      <c r="G1816" s="141" t="str">
        <f t="shared" si="155"/>
        <v>1481</v>
      </c>
      <c r="H1816" s="141" t="s">
        <v>1001</v>
      </c>
      <c r="I1816" s="141" t="str">
        <f t="shared" si="154"/>
        <v>999</v>
      </c>
      <c r="J1816" s="141" t="s">
        <v>4327</v>
      </c>
      <c r="K1816" s="141">
        <v>2426</v>
      </c>
      <c r="L1816" s="141">
        <v>4</v>
      </c>
      <c r="M1816" s="141">
        <v>0</v>
      </c>
      <c r="N1816" s="141">
        <v>3000</v>
      </c>
      <c r="O1816" s="141" t="s">
        <v>4403</v>
      </c>
      <c r="P1816" s="141"/>
    </row>
    <row r="1817" spans="1:16" ht="25.5">
      <c r="A1817" s="141">
        <v>76807</v>
      </c>
      <c r="B1817" s="141" t="s">
        <v>4325</v>
      </c>
      <c r="C1817" s="142">
        <v>41201</v>
      </c>
      <c r="D1817" s="141">
        <v>742</v>
      </c>
      <c r="E1817" s="141" t="str">
        <f t="shared" si="153"/>
        <v>001</v>
      </c>
      <c r="F1817" s="141" t="s">
        <v>4326</v>
      </c>
      <c r="G1817" s="141" t="str">
        <f t="shared" si="155"/>
        <v>1481</v>
      </c>
      <c r="H1817" s="141" t="s">
        <v>1001</v>
      </c>
      <c r="I1817" s="141" t="str">
        <f t="shared" si="154"/>
        <v>999</v>
      </c>
      <c r="J1817" s="141" t="s">
        <v>4327</v>
      </c>
      <c r="K1817" s="141">
        <v>2427</v>
      </c>
      <c r="L1817" s="141">
        <v>6</v>
      </c>
      <c r="M1817" s="141">
        <v>0</v>
      </c>
      <c r="N1817" s="141">
        <v>13000</v>
      </c>
      <c r="O1817" s="141" t="s">
        <v>4345</v>
      </c>
      <c r="P1817" s="141"/>
    </row>
    <row r="1818" spans="1:16" ht="25.5">
      <c r="A1818" s="141">
        <v>76807</v>
      </c>
      <c r="B1818" s="141" t="s">
        <v>4325</v>
      </c>
      <c r="C1818" s="142">
        <v>41201</v>
      </c>
      <c r="D1818" s="141">
        <v>742</v>
      </c>
      <c r="E1818" s="141" t="str">
        <f t="shared" si="153"/>
        <v>001</v>
      </c>
      <c r="F1818" s="141" t="s">
        <v>4326</v>
      </c>
      <c r="G1818" s="141" t="str">
        <f t="shared" si="155"/>
        <v>1481</v>
      </c>
      <c r="H1818" s="141" t="s">
        <v>1001</v>
      </c>
      <c r="I1818" s="141" t="str">
        <f t="shared" si="154"/>
        <v>999</v>
      </c>
      <c r="J1818" s="141" t="s">
        <v>4327</v>
      </c>
      <c r="K1818" s="141">
        <v>2428</v>
      </c>
      <c r="L1818" s="141">
        <v>2</v>
      </c>
      <c r="M1818" s="141">
        <v>0</v>
      </c>
      <c r="N1818" s="141">
        <v>3000</v>
      </c>
      <c r="O1818" s="141" t="s">
        <v>4344</v>
      </c>
      <c r="P1818" s="141"/>
    </row>
    <row r="1819" spans="1:16" ht="25.5">
      <c r="A1819" s="141">
        <v>76807</v>
      </c>
      <c r="B1819" s="141" t="s">
        <v>4325</v>
      </c>
      <c r="C1819" s="142">
        <v>41201</v>
      </c>
      <c r="D1819" s="141">
        <v>742</v>
      </c>
      <c r="E1819" s="141" t="str">
        <f t="shared" si="153"/>
        <v>001</v>
      </c>
      <c r="F1819" s="141" t="s">
        <v>4326</v>
      </c>
      <c r="G1819" s="141" t="str">
        <f t="shared" si="155"/>
        <v>1481</v>
      </c>
      <c r="H1819" s="141" t="s">
        <v>1001</v>
      </c>
      <c r="I1819" s="141" t="str">
        <f t="shared" si="154"/>
        <v>999</v>
      </c>
      <c r="J1819" s="141" t="s">
        <v>4327</v>
      </c>
      <c r="K1819" s="141">
        <v>2429</v>
      </c>
      <c r="L1819" s="141">
        <v>1</v>
      </c>
      <c r="M1819" s="141">
        <v>0</v>
      </c>
      <c r="N1819" s="141">
        <v>9000</v>
      </c>
      <c r="O1819" s="141" t="s">
        <v>4550</v>
      </c>
      <c r="P1819" s="141" t="s">
        <v>4372</v>
      </c>
    </row>
    <row r="1820" spans="1:16" ht="25.5">
      <c r="A1820" s="141">
        <v>76807</v>
      </c>
      <c r="B1820" s="141" t="s">
        <v>4325</v>
      </c>
      <c r="C1820" s="142">
        <v>41201</v>
      </c>
      <c r="D1820" s="141">
        <v>742</v>
      </c>
      <c r="E1820" s="141" t="str">
        <f t="shared" si="153"/>
        <v>001</v>
      </c>
      <c r="F1820" s="141" t="s">
        <v>4326</v>
      </c>
      <c r="G1820" s="141" t="str">
        <f t="shared" si="155"/>
        <v>1481</v>
      </c>
      <c r="H1820" s="141" t="s">
        <v>1001</v>
      </c>
      <c r="I1820" s="141" t="str">
        <f t="shared" si="154"/>
        <v>999</v>
      </c>
      <c r="J1820" s="141" t="s">
        <v>4327</v>
      </c>
      <c r="K1820" s="141">
        <v>2430</v>
      </c>
      <c r="L1820" s="141">
        <v>1</v>
      </c>
      <c r="M1820" s="141">
        <v>0</v>
      </c>
      <c r="N1820" s="141">
        <v>9000</v>
      </c>
      <c r="O1820" s="141" t="s">
        <v>4550</v>
      </c>
      <c r="P1820" s="141" t="s">
        <v>4372</v>
      </c>
    </row>
    <row r="1821" spans="1:16" ht="25.5">
      <c r="A1821" s="141">
        <v>76807</v>
      </c>
      <c r="B1821" s="141" t="s">
        <v>4325</v>
      </c>
      <c r="C1821" s="142">
        <v>41201</v>
      </c>
      <c r="D1821" s="141">
        <v>742</v>
      </c>
      <c r="E1821" s="141" t="str">
        <f t="shared" si="153"/>
        <v>001</v>
      </c>
      <c r="F1821" s="141" t="s">
        <v>4326</v>
      </c>
      <c r="G1821" s="141" t="str">
        <f t="shared" si="155"/>
        <v>1481</v>
      </c>
      <c r="H1821" s="141" t="s">
        <v>1001</v>
      </c>
      <c r="I1821" s="141" t="str">
        <f t="shared" si="154"/>
        <v>999</v>
      </c>
      <c r="J1821" s="141" t="s">
        <v>4327</v>
      </c>
      <c r="K1821" s="141">
        <v>2431</v>
      </c>
      <c r="L1821" s="141">
        <v>1</v>
      </c>
      <c r="M1821" s="141">
        <v>0</v>
      </c>
      <c r="N1821" s="141">
        <v>9000</v>
      </c>
      <c r="O1821" s="141" t="s">
        <v>4550</v>
      </c>
      <c r="P1821" s="141" t="s">
        <v>4372</v>
      </c>
    </row>
    <row r="1822" spans="1:16" ht="25.5">
      <c r="A1822" s="141">
        <v>76807</v>
      </c>
      <c r="B1822" s="141" t="s">
        <v>4325</v>
      </c>
      <c r="C1822" s="142">
        <v>41201</v>
      </c>
      <c r="D1822" s="141">
        <v>742</v>
      </c>
      <c r="E1822" s="141" t="str">
        <f t="shared" si="153"/>
        <v>001</v>
      </c>
      <c r="F1822" s="141" t="s">
        <v>4326</v>
      </c>
      <c r="G1822" s="141" t="str">
        <f t="shared" si="155"/>
        <v>1481</v>
      </c>
      <c r="H1822" s="141" t="s">
        <v>1001</v>
      </c>
      <c r="I1822" s="141" t="str">
        <f t="shared" si="154"/>
        <v>999</v>
      </c>
      <c r="J1822" s="141" t="s">
        <v>4327</v>
      </c>
      <c r="K1822" s="141">
        <v>2432</v>
      </c>
      <c r="L1822" s="141">
        <v>1</v>
      </c>
      <c r="M1822" s="141">
        <v>0</v>
      </c>
      <c r="N1822" s="141">
        <v>9000</v>
      </c>
      <c r="O1822" s="141" t="s">
        <v>4550</v>
      </c>
      <c r="P1822" s="141" t="s">
        <v>4372</v>
      </c>
    </row>
    <row r="1823" spans="1:16" ht="25.5">
      <c r="A1823" s="141">
        <v>76807</v>
      </c>
      <c r="B1823" s="141" t="s">
        <v>4325</v>
      </c>
      <c r="C1823" s="142">
        <v>41201</v>
      </c>
      <c r="D1823" s="141">
        <v>742</v>
      </c>
      <c r="E1823" s="141" t="str">
        <f t="shared" si="153"/>
        <v>001</v>
      </c>
      <c r="F1823" s="141" t="s">
        <v>4326</v>
      </c>
      <c r="G1823" s="141" t="str">
        <f t="shared" si="155"/>
        <v>1481</v>
      </c>
      <c r="H1823" s="141" t="s">
        <v>1001</v>
      </c>
      <c r="I1823" s="141" t="str">
        <f t="shared" si="154"/>
        <v>999</v>
      </c>
      <c r="J1823" s="141" t="s">
        <v>4327</v>
      </c>
      <c r="K1823" s="141">
        <v>2433</v>
      </c>
      <c r="L1823" s="141">
        <v>1</v>
      </c>
      <c r="M1823" s="141">
        <v>0</v>
      </c>
      <c r="N1823" s="141">
        <v>9000</v>
      </c>
      <c r="O1823" s="141" t="s">
        <v>4550</v>
      </c>
      <c r="P1823" s="141" t="s">
        <v>4372</v>
      </c>
    </row>
    <row r="1824" spans="1:16" ht="25.5">
      <c r="A1824" s="141">
        <v>76807</v>
      </c>
      <c r="B1824" s="141" t="s">
        <v>4325</v>
      </c>
      <c r="C1824" s="142">
        <v>41201</v>
      </c>
      <c r="D1824" s="141">
        <v>742</v>
      </c>
      <c r="E1824" s="141" t="str">
        <f t="shared" si="153"/>
        <v>001</v>
      </c>
      <c r="F1824" s="141" t="s">
        <v>4326</v>
      </c>
      <c r="G1824" s="141" t="str">
        <f t="shared" si="155"/>
        <v>1481</v>
      </c>
      <c r="H1824" s="141" t="s">
        <v>1001</v>
      </c>
      <c r="I1824" s="141" t="str">
        <f t="shared" si="154"/>
        <v>999</v>
      </c>
      <c r="J1824" s="141" t="s">
        <v>4327</v>
      </c>
      <c r="K1824" s="141">
        <v>2434</v>
      </c>
      <c r="L1824" s="141">
        <v>1</v>
      </c>
      <c r="M1824" s="141">
        <v>0</v>
      </c>
      <c r="N1824" s="141">
        <v>9000</v>
      </c>
      <c r="O1824" s="141" t="s">
        <v>4550</v>
      </c>
      <c r="P1824" s="141" t="s">
        <v>4372</v>
      </c>
    </row>
    <row r="1825" spans="1:16" ht="25.5">
      <c r="A1825" s="141">
        <v>76807</v>
      </c>
      <c r="B1825" s="141" t="s">
        <v>4325</v>
      </c>
      <c r="C1825" s="142">
        <v>41201</v>
      </c>
      <c r="D1825" s="141">
        <v>742</v>
      </c>
      <c r="E1825" s="141" t="str">
        <f t="shared" si="153"/>
        <v>001</v>
      </c>
      <c r="F1825" s="141" t="s">
        <v>4326</v>
      </c>
      <c r="G1825" s="141" t="str">
        <f t="shared" si="155"/>
        <v>1481</v>
      </c>
      <c r="H1825" s="141" t="s">
        <v>1001</v>
      </c>
      <c r="I1825" s="141" t="str">
        <f t="shared" si="154"/>
        <v>999</v>
      </c>
      <c r="J1825" s="141" t="s">
        <v>4327</v>
      </c>
      <c r="K1825" s="141">
        <v>2435</v>
      </c>
      <c r="L1825" s="141">
        <v>4</v>
      </c>
      <c r="M1825" s="141">
        <v>0</v>
      </c>
      <c r="N1825" s="141">
        <v>10000</v>
      </c>
      <c r="O1825" s="141" t="s">
        <v>4347</v>
      </c>
      <c r="P1825" s="141"/>
    </row>
    <row r="1826" spans="1:16" ht="25.5">
      <c r="A1826" s="141">
        <v>76807</v>
      </c>
      <c r="B1826" s="141" t="s">
        <v>4325</v>
      </c>
      <c r="C1826" s="142">
        <v>41201</v>
      </c>
      <c r="D1826" s="141">
        <v>742</v>
      </c>
      <c r="E1826" s="141" t="str">
        <f t="shared" si="153"/>
        <v>001</v>
      </c>
      <c r="F1826" s="141" t="s">
        <v>4326</v>
      </c>
      <c r="G1826" s="141" t="str">
        <f t="shared" si="155"/>
        <v>1481</v>
      </c>
      <c r="H1826" s="141" t="s">
        <v>1001</v>
      </c>
      <c r="I1826" s="141" t="str">
        <f t="shared" si="154"/>
        <v>999</v>
      </c>
      <c r="J1826" s="141" t="s">
        <v>4327</v>
      </c>
      <c r="K1826" s="141">
        <v>2436</v>
      </c>
      <c r="L1826" s="141">
        <v>2</v>
      </c>
      <c r="M1826" s="141">
        <v>0</v>
      </c>
      <c r="N1826" s="141">
        <v>9000</v>
      </c>
      <c r="O1826" s="141" t="s">
        <v>4406</v>
      </c>
      <c r="P1826" s="141"/>
    </row>
    <row r="1827" spans="1:16" ht="25.5">
      <c r="A1827" s="141">
        <v>76807</v>
      </c>
      <c r="B1827" s="141" t="s">
        <v>4325</v>
      </c>
      <c r="C1827" s="142">
        <v>41201</v>
      </c>
      <c r="D1827" s="141">
        <v>742</v>
      </c>
      <c r="E1827" s="141" t="str">
        <f t="shared" si="153"/>
        <v>001</v>
      </c>
      <c r="F1827" s="141" t="s">
        <v>4326</v>
      </c>
      <c r="G1827" s="141" t="str">
        <f t="shared" si="155"/>
        <v>1481</v>
      </c>
      <c r="H1827" s="141" t="s">
        <v>1001</v>
      </c>
      <c r="I1827" s="141" t="str">
        <f t="shared" si="154"/>
        <v>999</v>
      </c>
      <c r="J1827" s="141" t="s">
        <v>4327</v>
      </c>
      <c r="K1827" s="141">
        <v>2437</v>
      </c>
      <c r="L1827" s="141">
        <v>1</v>
      </c>
      <c r="M1827" s="141">
        <v>0</v>
      </c>
      <c r="N1827" s="141">
        <v>6000</v>
      </c>
      <c r="O1827" s="141" t="s">
        <v>4407</v>
      </c>
      <c r="P1827" s="141"/>
    </row>
    <row r="1828" spans="1:16" ht="25.5">
      <c r="A1828" s="141">
        <v>76807</v>
      </c>
      <c r="B1828" s="141" t="s">
        <v>4325</v>
      </c>
      <c r="C1828" s="142">
        <v>41201</v>
      </c>
      <c r="D1828" s="141">
        <v>1167</v>
      </c>
      <c r="E1828" s="141" t="str">
        <f t="shared" si="153"/>
        <v>001</v>
      </c>
      <c r="F1828" s="141" t="s">
        <v>4326</v>
      </c>
      <c r="G1828" s="141" t="str">
        <f t="shared" ref="G1828:G1837" si="156">"1483"</f>
        <v>1483</v>
      </c>
      <c r="H1828" s="141" t="s">
        <v>1004</v>
      </c>
      <c r="I1828" s="141" t="str">
        <f t="shared" si="154"/>
        <v>999</v>
      </c>
      <c r="J1828" s="141" t="s">
        <v>4327</v>
      </c>
      <c r="K1828" s="141">
        <v>3039</v>
      </c>
      <c r="L1828" s="141">
        <v>1</v>
      </c>
      <c r="M1828" s="141">
        <v>0</v>
      </c>
      <c r="N1828" s="141">
        <v>89000</v>
      </c>
      <c r="O1828" s="141" t="s">
        <v>4505</v>
      </c>
      <c r="P1828" s="141" t="s">
        <v>4367</v>
      </c>
    </row>
    <row r="1829" spans="1:16" ht="25.5">
      <c r="A1829" s="141">
        <v>76807</v>
      </c>
      <c r="B1829" s="141" t="s">
        <v>4325</v>
      </c>
      <c r="C1829" s="142">
        <v>41201</v>
      </c>
      <c r="D1829" s="141">
        <v>1167</v>
      </c>
      <c r="E1829" s="141" t="str">
        <f t="shared" si="153"/>
        <v>001</v>
      </c>
      <c r="F1829" s="141" t="s">
        <v>4326</v>
      </c>
      <c r="G1829" s="141" t="str">
        <f t="shared" si="156"/>
        <v>1483</v>
      </c>
      <c r="H1829" s="141" t="s">
        <v>1004</v>
      </c>
      <c r="I1829" s="141" t="str">
        <f t="shared" si="154"/>
        <v>999</v>
      </c>
      <c r="J1829" s="141" t="s">
        <v>4327</v>
      </c>
      <c r="K1829" s="141">
        <v>3040</v>
      </c>
      <c r="L1829" s="141">
        <v>1</v>
      </c>
      <c r="M1829" s="141">
        <v>0</v>
      </c>
      <c r="N1829" s="141">
        <v>4000</v>
      </c>
      <c r="O1829" s="141" t="s">
        <v>4351</v>
      </c>
      <c r="P1829" s="141" t="s">
        <v>4824</v>
      </c>
    </row>
    <row r="1830" spans="1:16" ht="25.5">
      <c r="A1830" s="141">
        <v>76807</v>
      </c>
      <c r="B1830" s="141" t="s">
        <v>4325</v>
      </c>
      <c r="C1830" s="142">
        <v>41201</v>
      </c>
      <c r="D1830" s="141">
        <v>1167</v>
      </c>
      <c r="E1830" s="141" t="str">
        <f t="shared" si="153"/>
        <v>001</v>
      </c>
      <c r="F1830" s="141" t="s">
        <v>4326</v>
      </c>
      <c r="G1830" s="141" t="str">
        <f t="shared" si="156"/>
        <v>1483</v>
      </c>
      <c r="H1830" s="141" t="s">
        <v>1004</v>
      </c>
      <c r="I1830" s="141" t="str">
        <f t="shared" si="154"/>
        <v>999</v>
      </c>
      <c r="J1830" s="141" t="s">
        <v>4327</v>
      </c>
      <c r="K1830" s="141">
        <v>3041</v>
      </c>
      <c r="L1830" s="141">
        <v>1</v>
      </c>
      <c r="M1830" s="141">
        <v>0</v>
      </c>
      <c r="N1830" s="141">
        <v>2000</v>
      </c>
      <c r="O1830" s="141" t="s">
        <v>4345</v>
      </c>
      <c r="P1830" s="141"/>
    </row>
    <row r="1831" spans="1:16" ht="25.5">
      <c r="A1831" s="141">
        <v>76807</v>
      </c>
      <c r="B1831" s="141" t="s">
        <v>4325</v>
      </c>
      <c r="C1831" s="142">
        <v>41201</v>
      </c>
      <c r="D1831" s="141">
        <v>1167</v>
      </c>
      <c r="E1831" s="141" t="str">
        <f t="shared" si="153"/>
        <v>001</v>
      </c>
      <c r="F1831" s="141" t="s">
        <v>4326</v>
      </c>
      <c r="G1831" s="141" t="str">
        <f t="shared" si="156"/>
        <v>1483</v>
      </c>
      <c r="H1831" s="141" t="s">
        <v>1004</v>
      </c>
      <c r="I1831" s="141" t="str">
        <f t="shared" si="154"/>
        <v>999</v>
      </c>
      <c r="J1831" s="141" t="s">
        <v>4327</v>
      </c>
      <c r="K1831" s="141">
        <v>3042</v>
      </c>
      <c r="L1831" s="141">
        <v>1</v>
      </c>
      <c r="M1831" s="141">
        <v>0</v>
      </c>
      <c r="N1831" s="141">
        <v>1000</v>
      </c>
      <c r="O1831" s="141" t="s">
        <v>4434</v>
      </c>
      <c r="P1831" s="141"/>
    </row>
    <row r="1832" spans="1:16" ht="25.5">
      <c r="A1832" s="141">
        <v>76807</v>
      </c>
      <c r="B1832" s="141" t="s">
        <v>4325</v>
      </c>
      <c r="C1832" s="142">
        <v>41201</v>
      </c>
      <c r="D1832" s="141">
        <v>1167</v>
      </c>
      <c r="E1832" s="141" t="str">
        <f t="shared" si="153"/>
        <v>001</v>
      </c>
      <c r="F1832" s="141" t="s">
        <v>4326</v>
      </c>
      <c r="G1832" s="141" t="str">
        <f t="shared" si="156"/>
        <v>1483</v>
      </c>
      <c r="H1832" s="141" t="s">
        <v>1004</v>
      </c>
      <c r="I1832" s="141" t="str">
        <f t="shared" si="154"/>
        <v>999</v>
      </c>
      <c r="J1832" s="141" t="s">
        <v>4327</v>
      </c>
      <c r="K1832" s="141">
        <v>3043</v>
      </c>
      <c r="L1832" s="141">
        <v>2</v>
      </c>
      <c r="M1832" s="141">
        <v>0</v>
      </c>
      <c r="N1832" s="141">
        <v>1000</v>
      </c>
      <c r="O1832" s="141" t="s">
        <v>4381</v>
      </c>
      <c r="P1832" s="141"/>
    </row>
    <row r="1833" spans="1:16" ht="25.5">
      <c r="A1833" s="141">
        <v>76807</v>
      </c>
      <c r="B1833" s="141" t="s">
        <v>4325</v>
      </c>
      <c r="C1833" s="142">
        <v>41201</v>
      </c>
      <c r="D1833" s="141">
        <v>1167</v>
      </c>
      <c r="E1833" s="141" t="str">
        <f t="shared" si="153"/>
        <v>001</v>
      </c>
      <c r="F1833" s="141" t="s">
        <v>4326</v>
      </c>
      <c r="G1833" s="141" t="str">
        <f t="shared" si="156"/>
        <v>1483</v>
      </c>
      <c r="H1833" s="141" t="s">
        <v>1004</v>
      </c>
      <c r="I1833" s="141" t="str">
        <f t="shared" si="154"/>
        <v>999</v>
      </c>
      <c r="J1833" s="141" t="s">
        <v>4327</v>
      </c>
      <c r="K1833" s="141">
        <v>3044</v>
      </c>
      <c r="L1833" s="141">
        <v>4</v>
      </c>
      <c r="M1833" s="141">
        <v>0</v>
      </c>
      <c r="N1833" s="141">
        <v>3000</v>
      </c>
      <c r="O1833" s="141" t="s">
        <v>4343</v>
      </c>
      <c r="P1833" s="141"/>
    </row>
    <row r="1834" spans="1:16" ht="25.5">
      <c r="A1834" s="141">
        <v>76807</v>
      </c>
      <c r="B1834" s="141" t="s">
        <v>4325</v>
      </c>
      <c r="C1834" s="142">
        <v>41201</v>
      </c>
      <c r="D1834" s="141">
        <v>1167</v>
      </c>
      <c r="E1834" s="141" t="str">
        <f t="shared" si="153"/>
        <v>001</v>
      </c>
      <c r="F1834" s="141" t="s">
        <v>4326</v>
      </c>
      <c r="G1834" s="141" t="str">
        <f t="shared" si="156"/>
        <v>1483</v>
      </c>
      <c r="H1834" s="141" t="s">
        <v>1004</v>
      </c>
      <c r="I1834" s="141" t="str">
        <f t="shared" si="154"/>
        <v>999</v>
      </c>
      <c r="J1834" s="141" t="s">
        <v>4327</v>
      </c>
      <c r="K1834" s="141">
        <v>3045</v>
      </c>
      <c r="L1834" s="141">
        <v>2</v>
      </c>
      <c r="M1834" s="141">
        <v>0</v>
      </c>
      <c r="N1834" s="141">
        <v>1000</v>
      </c>
      <c r="O1834" s="141" t="s">
        <v>4350</v>
      </c>
      <c r="P1834" s="141"/>
    </row>
    <row r="1835" spans="1:16" ht="25.5">
      <c r="A1835" s="141">
        <v>76807</v>
      </c>
      <c r="B1835" s="141" t="s">
        <v>4325</v>
      </c>
      <c r="C1835" s="142">
        <v>41201</v>
      </c>
      <c r="D1835" s="141">
        <v>1167</v>
      </c>
      <c r="E1835" s="141" t="str">
        <f t="shared" si="153"/>
        <v>001</v>
      </c>
      <c r="F1835" s="141" t="s">
        <v>4326</v>
      </c>
      <c r="G1835" s="141" t="str">
        <f t="shared" si="156"/>
        <v>1483</v>
      </c>
      <c r="H1835" s="141" t="s">
        <v>1004</v>
      </c>
      <c r="I1835" s="141" t="str">
        <f t="shared" si="154"/>
        <v>999</v>
      </c>
      <c r="J1835" s="141" t="s">
        <v>4327</v>
      </c>
      <c r="K1835" s="141">
        <v>3046</v>
      </c>
      <c r="L1835" s="141">
        <v>2</v>
      </c>
      <c r="M1835" s="141">
        <v>0</v>
      </c>
      <c r="N1835" s="141">
        <v>0</v>
      </c>
      <c r="O1835" s="141" t="s">
        <v>4624</v>
      </c>
      <c r="P1835" s="141"/>
    </row>
    <row r="1836" spans="1:16" ht="25.5">
      <c r="A1836" s="141">
        <v>76807</v>
      </c>
      <c r="B1836" s="141" t="s">
        <v>4325</v>
      </c>
      <c r="C1836" s="142">
        <v>41201</v>
      </c>
      <c r="D1836" s="141">
        <v>1167</v>
      </c>
      <c r="E1836" s="141" t="str">
        <f t="shared" si="153"/>
        <v>001</v>
      </c>
      <c r="F1836" s="141" t="s">
        <v>4326</v>
      </c>
      <c r="G1836" s="141" t="str">
        <f t="shared" si="156"/>
        <v>1483</v>
      </c>
      <c r="H1836" s="141" t="s">
        <v>1004</v>
      </c>
      <c r="I1836" s="141" t="str">
        <f t="shared" si="154"/>
        <v>999</v>
      </c>
      <c r="J1836" s="141" t="s">
        <v>4327</v>
      </c>
      <c r="K1836" s="141">
        <v>3047</v>
      </c>
      <c r="L1836" s="141">
        <v>1</v>
      </c>
      <c r="M1836" s="141">
        <v>0</v>
      </c>
      <c r="N1836" s="141">
        <v>10000</v>
      </c>
      <c r="O1836" s="141" t="s">
        <v>4825</v>
      </c>
      <c r="P1836" s="141"/>
    </row>
    <row r="1837" spans="1:16" ht="25.5">
      <c r="A1837" s="141">
        <v>76807</v>
      </c>
      <c r="B1837" s="141" t="s">
        <v>4325</v>
      </c>
      <c r="C1837" s="142">
        <v>41201</v>
      </c>
      <c r="D1837" s="141">
        <v>1167</v>
      </c>
      <c r="E1837" s="141" t="str">
        <f t="shared" si="153"/>
        <v>001</v>
      </c>
      <c r="F1837" s="141" t="s">
        <v>4326</v>
      </c>
      <c r="G1837" s="141" t="str">
        <f t="shared" si="156"/>
        <v>1483</v>
      </c>
      <c r="H1837" s="141" t="s">
        <v>1004</v>
      </c>
      <c r="I1837" s="141" t="str">
        <f t="shared" si="154"/>
        <v>999</v>
      </c>
      <c r="J1837" s="141" t="s">
        <v>4327</v>
      </c>
      <c r="K1837" s="141">
        <v>3048</v>
      </c>
      <c r="L1837" s="141">
        <v>1</v>
      </c>
      <c r="M1837" s="141">
        <v>0</v>
      </c>
      <c r="N1837" s="141">
        <v>57000</v>
      </c>
      <c r="O1837" s="141" t="s">
        <v>4826</v>
      </c>
      <c r="P1837" s="141"/>
    </row>
    <row r="1838" spans="1:16" ht="25.5">
      <c r="A1838" s="141">
        <v>76807</v>
      </c>
      <c r="B1838" s="141" t="s">
        <v>4325</v>
      </c>
      <c r="C1838" s="142">
        <v>41201</v>
      </c>
      <c r="D1838" s="141">
        <v>464</v>
      </c>
      <c r="E1838" s="141" t="str">
        <f t="shared" si="153"/>
        <v>001</v>
      </c>
      <c r="F1838" s="141" t="s">
        <v>4326</v>
      </c>
      <c r="G1838" s="141" t="str">
        <f>"1484"</f>
        <v>1484</v>
      </c>
      <c r="H1838" s="141" t="s">
        <v>1658</v>
      </c>
      <c r="I1838" s="141" t="str">
        <f t="shared" si="154"/>
        <v>999</v>
      </c>
      <c r="J1838" s="141" t="s">
        <v>4327</v>
      </c>
      <c r="K1838" s="141">
        <v>976</v>
      </c>
      <c r="L1838" s="141">
        <v>1</v>
      </c>
      <c r="M1838" s="141">
        <v>0</v>
      </c>
      <c r="N1838" s="141">
        <v>32000</v>
      </c>
      <c r="O1838" s="141" t="s">
        <v>4332</v>
      </c>
      <c r="P1838" s="141" t="s">
        <v>4827</v>
      </c>
    </row>
    <row r="1839" spans="1:16" ht="25.5">
      <c r="A1839" s="141">
        <v>76807</v>
      </c>
      <c r="B1839" s="141" t="s">
        <v>4325</v>
      </c>
      <c r="C1839" s="142">
        <v>41201</v>
      </c>
      <c r="D1839" s="141">
        <v>1166</v>
      </c>
      <c r="E1839" s="141" t="str">
        <f t="shared" si="153"/>
        <v>001</v>
      </c>
      <c r="F1839" s="141" t="s">
        <v>4326</v>
      </c>
      <c r="G1839" s="141" t="str">
        <f t="shared" ref="G1839:G1847" si="157">"1485"</f>
        <v>1485</v>
      </c>
      <c r="H1839" s="141" t="s">
        <v>764</v>
      </c>
      <c r="I1839" s="141" t="str">
        <f t="shared" si="154"/>
        <v>999</v>
      </c>
      <c r="J1839" s="141" t="s">
        <v>4327</v>
      </c>
      <c r="K1839" s="141">
        <v>3026</v>
      </c>
      <c r="L1839" s="141">
        <v>26</v>
      </c>
      <c r="M1839" s="141">
        <v>0</v>
      </c>
      <c r="N1839" s="141">
        <v>59000</v>
      </c>
      <c r="O1839" s="141" t="s">
        <v>4334</v>
      </c>
      <c r="P1839" s="141" t="s">
        <v>4340</v>
      </c>
    </row>
    <row r="1840" spans="1:16" ht="25.5">
      <c r="A1840" s="141">
        <v>76807</v>
      </c>
      <c r="B1840" s="141" t="s">
        <v>4325</v>
      </c>
      <c r="C1840" s="142">
        <v>41201</v>
      </c>
      <c r="D1840" s="141">
        <v>1166</v>
      </c>
      <c r="E1840" s="141" t="str">
        <f t="shared" si="153"/>
        <v>001</v>
      </c>
      <c r="F1840" s="141" t="s">
        <v>4326</v>
      </c>
      <c r="G1840" s="141" t="str">
        <f t="shared" si="157"/>
        <v>1485</v>
      </c>
      <c r="H1840" s="141" t="s">
        <v>764</v>
      </c>
      <c r="I1840" s="141" t="str">
        <f t="shared" si="154"/>
        <v>999</v>
      </c>
      <c r="J1840" s="141" t="s">
        <v>4327</v>
      </c>
      <c r="K1840" s="141">
        <v>3027</v>
      </c>
      <c r="L1840" s="141">
        <v>7</v>
      </c>
      <c r="M1840" s="141">
        <v>0</v>
      </c>
      <c r="N1840" s="141">
        <v>5000</v>
      </c>
      <c r="O1840" s="141" t="s">
        <v>4343</v>
      </c>
      <c r="P1840" s="141"/>
    </row>
    <row r="1841" spans="1:16" ht="25.5">
      <c r="A1841" s="141">
        <v>76807</v>
      </c>
      <c r="B1841" s="141" t="s">
        <v>4325</v>
      </c>
      <c r="C1841" s="142">
        <v>41201</v>
      </c>
      <c r="D1841" s="141">
        <v>1166</v>
      </c>
      <c r="E1841" s="141" t="str">
        <f t="shared" si="153"/>
        <v>001</v>
      </c>
      <c r="F1841" s="141" t="s">
        <v>4326</v>
      </c>
      <c r="G1841" s="141" t="str">
        <f t="shared" si="157"/>
        <v>1485</v>
      </c>
      <c r="H1841" s="141" t="s">
        <v>764</v>
      </c>
      <c r="I1841" s="141" t="str">
        <f t="shared" si="154"/>
        <v>999</v>
      </c>
      <c r="J1841" s="141" t="s">
        <v>4327</v>
      </c>
      <c r="K1841" s="141">
        <v>3028</v>
      </c>
      <c r="L1841" s="141">
        <v>10</v>
      </c>
      <c r="M1841" s="141">
        <v>0</v>
      </c>
      <c r="N1841" s="141">
        <v>6000</v>
      </c>
      <c r="O1841" s="141" t="s">
        <v>4350</v>
      </c>
      <c r="P1841" s="141"/>
    </row>
    <row r="1842" spans="1:16" ht="25.5">
      <c r="A1842" s="141">
        <v>76807</v>
      </c>
      <c r="B1842" s="141" t="s">
        <v>4325</v>
      </c>
      <c r="C1842" s="142">
        <v>41201</v>
      </c>
      <c r="D1842" s="141">
        <v>1166</v>
      </c>
      <c r="E1842" s="141" t="str">
        <f t="shared" si="153"/>
        <v>001</v>
      </c>
      <c r="F1842" s="141" t="s">
        <v>4326</v>
      </c>
      <c r="G1842" s="141" t="str">
        <f t="shared" si="157"/>
        <v>1485</v>
      </c>
      <c r="H1842" s="141" t="s">
        <v>764</v>
      </c>
      <c r="I1842" s="141" t="str">
        <f t="shared" si="154"/>
        <v>999</v>
      </c>
      <c r="J1842" s="141" t="s">
        <v>4327</v>
      </c>
      <c r="K1842" s="141">
        <v>3031</v>
      </c>
      <c r="L1842" s="141">
        <v>1</v>
      </c>
      <c r="M1842" s="141">
        <v>0</v>
      </c>
      <c r="N1842" s="141">
        <v>12000</v>
      </c>
      <c r="O1842" s="141" t="s">
        <v>4434</v>
      </c>
      <c r="P1842" s="141"/>
    </row>
    <row r="1843" spans="1:16" ht="25.5">
      <c r="A1843" s="141">
        <v>76807</v>
      </c>
      <c r="B1843" s="141" t="s">
        <v>4325</v>
      </c>
      <c r="C1843" s="142">
        <v>41201</v>
      </c>
      <c r="D1843" s="141">
        <v>1166</v>
      </c>
      <c r="E1843" s="141" t="str">
        <f t="shared" si="153"/>
        <v>001</v>
      </c>
      <c r="F1843" s="141" t="s">
        <v>4326</v>
      </c>
      <c r="G1843" s="141" t="str">
        <f t="shared" si="157"/>
        <v>1485</v>
      </c>
      <c r="H1843" s="141" t="s">
        <v>764</v>
      </c>
      <c r="I1843" s="141" t="str">
        <f t="shared" si="154"/>
        <v>999</v>
      </c>
      <c r="J1843" s="141" t="s">
        <v>4327</v>
      </c>
      <c r="K1843" s="141">
        <v>3032</v>
      </c>
      <c r="L1843" s="141">
        <v>1</v>
      </c>
      <c r="M1843" s="141">
        <v>0</v>
      </c>
      <c r="N1843" s="141">
        <v>0</v>
      </c>
      <c r="O1843" s="141" t="s">
        <v>4624</v>
      </c>
      <c r="P1843" s="141"/>
    </row>
    <row r="1844" spans="1:16" ht="25.5">
      <c r="A1844" s="141">
        <v>76807</v>
      </c>
      <c r="B1844" s="141" t="s">
        <v>4325</v>
      </c>
      <c r="C1844" s="142">
        <v>41201</v>
      </c>
      <c r="D1844" s="141">
        <v>1166</v>
      </c>
      <c r="E1844" s="141" t="str">
        <f t="shared" si="153"/>
        <v>001</v>
      </c>
      <c r="F1844" s="141" t="s">
        <v>4326</v>
      </c>
      <c r="G1844" s="141" t="str">
        <f t="shared" si="157"/>
        <v>1485</v>
      </c>
      <c r="H1844" s="141" t="s">
        <v>764</v>
      </c>
      <c r="I1844" s="141" t="str">
        <f t="shared" si="154"/>
        <v>999</v>
      </c>
      <c r="J1844" s="141" t="s">
        <v>4327</v>
      </c>
      <c r="K1844" s="141">
        <v>3035</v>
      </c>
      <c r="L1844" s="141">
        <v>1</v>
      </c>
      <c r="M1844" s="141">
        <v>0</v>
      </c>
      <c r="N1844" s="141">
        <v>4000</v>
      </c>
      <c r="O1844" s="141" t="s">
        <v>4330</v>
      </c>
      <c r="P1844" s="141" t="s">
        <v>4348</v>
      </c>
    </row>
    <row r="1845" spans="1:16" ht="25.5">
      <c r="A1845" s="141">
        <v>76807</v>
      </c>
      <c r="B1845" s="141" t="s">
        <v>4325</v>
      </c>
      <c r="C1845" s="142">
        <v>41201</v>
      </c>
      <c r="D1845" s="141">
        <v>1166</v>
      </c>
      <c r="E1845" s="141" t="str">
        <f t="shared" si="153"/>
        <v>001</v>
      </c>
      <c r="F1845" s="141" t="s">
        <v>4326</v>
      </c>
      <c r="G1845" s="141" t="str">
        <f t="shared" si="157"/>
        <v>1485</v>
      </c>
      <c r="H1845" s="141" t="s">
        <v>764</v>
      </c>
      <c r="I1845" s="141" t="str">
        <f t="shared" si="154"/>
        <v>999</v>
      </c>
      <c r="J1845" s="141" t="s">
        <v>4327</v>
      </c>
      <c r="K1845" s="141">
        <v>3036</v>
      </c>
      <c r="L1845" s="141">
        <v>1</v>
      </c>
      <c r="M1845" s="141">
        <v>0</v>
      </c>
      <c r="N1845" s="141">
        <v>39000</v>
      </c>
      <c r="O1845" s="141" t="s">
        <v>4828</v>
      </c>
      <c r="P1845" s="141"/>
    </row>
    <row r="1846" spans="1:16" ht="25.5">
      <c r="A1846" s="141">
        <v>76807</v>
      </c>
      <c r="B1846" s="141" t="s">
        <v>4325</v>
      </c>
      <c r="C1846" s="142">
        <v>41201</v>
      </c>
      <c r="D1846" s="141">
        <v>1166</v>
      </c>
      <c r="E1846" s="141" t="str">
        <f t="shared" si="153"/>
        <v>001</v>
      </c>
      <c r="F1846" s="141" t="s">
        <v>4326</v>
      </c>
      <c r="G1846" s="141" t="str">
        <f t="shared" si="157"/>
        <v>1485</v>
      </c>
      <c r="H1846" s="141" t="s">
        <v>764</v>
      </c>
      <c r="I1846" s="141" t="str">
        <f t="shared" si="154"/>
        <v>999</v>
      </c>
      <c r="J1846" s="141" t="s">
        <v>4327</v>
      </c>
      <c r="K1846" s="141">
        <v>3037</v>
      </c>
      <c r="L1846" s="141">
        <v>1</v>
      </c>
      <c r="M1846" s="141">
        <v>0</v>
      </c>
      <c r="N1846" s="141">
        <v>1060000</v>
      </c>
      <c r="O1846" s="141" t="s">
        <v>4648</v>
      </c>
      <c r="P1846" s="141"/>
    </row>
    <row r="1847" spans="1:16" ht="25.5">
      <c r="A1847" s="141">
        <v>76807</v>
      </c>
      <c r="B1847" s="141" t="s">
        <v>4325</v>
      </c>
      <c r="C1847" s="142">
        <v>41201</v>
      </c>
      <c r="D1847" s="141">
        <v>1166</v>
      </c>
      <c r="E1847" s="141" t="str">
        <f t="shared" si="153"/>
        <v>001</v>
      </c>
      <c r="F1847" s="141" t="s">
        <v>4326</v>
      </c>
      <c r="G1847" s="141" t="str">
        <f t="shared" si="157"/>
        <v>1485</v>
      </c>
      <c r="H1847" s="141" t="s">
        <v>764</v>
      </c>
      <c r="I1847" s="141" t="str">
        <f t="shared" si="154"/>
        <v>999</v>
      </c>
      <c r="J1847" s="141" t="s">
        <v>4327</v>
      </c>
      <c r="K1847" s="141">
        <v>3038</v>
      </c>
      <c r="L1847" s="141">
        <v>1</v>
      </c>
      <c r="M1847" s="141">
        <v>0</v>
      </c>
      <c r="N1847" s="141">
        <v>125000</v>
      </c>
      <c r="O1847" s="141" t="s">
        <v>4649</v>
      </c>
      <c r="P1847" s="141"/>
    </row>
    <row r="1848" spans="1:16" ht="25.5">
      <c r="A1848" s="141">
        <v>76807</v>
      </c>
      <c r="B1848" s="141" t="s">
        <v>4325</v>
      </c>
      <c r="C1848" s="142">
        <v>41201</v>
      </c>
      <c r="D1848" s="141">
        <v>318</v>
      </c>
      <c r="E1848" s="141" t="str">
        <f t="shared" si="153"/>
        <v>001</v>
      </c>
      <c r="F1848" s="141" t="s">
        <v>4326</v>
      </c>
      <c r="G1848" s="141" t="str">
        <f>"1492"</f>
        <v>1492</v>
      </c>
      <c r="H1848" s="141" t="s">
        <v>687</v>
      </c>
      <c r="I1848" s="141" t="str">
        <f t="shared" si="154"/>
        <v>999</v>
      </c>
      <c r="J1848" s="141" t="s">
        <v>4327</v>
      </c>
      <c r="K1848" s="141">
        <v>290</v>
      </c>
      <c r="L1848" s="141">
        <v>1</v>
      </c>
      <c r="M1848" s="141">
        <v>0</v>
      </c>
      <c r="N1848" s="141">
        <v>4000</v>
      </c>
      <c r="O1848" s="141" t="s">
        <v>4330</v>
      </c>
      <c r="P1848" s="141" t="s">
        <v>4348</v>
      </c>
    </row>
    <row r="1849" spans="1:16" ht="25.5">
      <c r="A1849" s="141">
        <v>76807</v>
      </c>
      <c r="B1849" s="141" t="s">
        <v>4325</v>
      </c>
      <c r="C1849" s="142">
        <v>41201</v>
      </c>
      <c r="D1849" s="141">
        <v>318</v>
      </c>
      <c r="E1849" s="141" t="str">
        <f t="shared" si="153"/>
        <v>001</v>
      </c>
      <c r="F1849" s="141" t="s">
        <v>4326</v>
      </c>
      <c r="G1849" s="141" t="str">
        <f>"1492"</f>
        <v>1492</v>
      </c>
      <c r="H1849" s="141" t="s">
        <v>687</v>
      </c>
      <c r="I1849" s="141" t="str">
        <f t="shared" si="154"/>
        <v>999</v>
      </c>
      <c r="J1849" s="141" t="s">
        <v>4327</v>
      </c>
      <c r="K1849" s="141">
        <v>291</v>
      </c>
      <c r="L1849" s="141">
        <v>1</v>
      </c>
      <c r="M1849" s="141">
        <v>0</v>
      </c>
      <c r="N1849" s="141">
        <v>17000</v>
      </c>
      <c r="O1849" s="141" t="s">
        <v>4463</v>
      </c>
      <c r="P1849" s="141" t="s">
        <v>4470</v>
      </c>
    </row>
    <row r="1850" spans="1:16" ht="25.5">
      <c r="A1850" s="141">
        <v>76807</v>
      </c>
      <c r="B1850" s="141" t="s">
        <v>4325</v>
      </c>
      <c r="C1850" s="142">
        <v>41201</v>
      </c>
      <c r="D1850" s="141">
        <v>747</v>
      </c>
      <c r="E1850" s="141" t="str">
        <f t="shared" si="153"/>
        <v>001</v>
      </c>
      <c r="F1850" s="141" t="s">
        <v>4326</v>
      </c>
      <c r="G1850" s="141" t="str">
        <f>"1493"</f>
        <v>1493</v>
      </c>
      <c r="H1850" s="141" t="s">
        <v>1069</v>
      </c>
      <c r="I1850" s="141" t="str">
        <f t="shared" si="154"/>
        <v>999</v>
      </c>
      <c r="J1850" s="141" t="s">
        <v>4327</v>
      </c>
      <c r="K1850" s="141">
        <v>2487</v>
      </c>
      <c r="L1850" s="141">
        <v>1</v>
      </c>
      <c r="M1850" s="141">
        <v>0</v>
      </c>
      <c r="N1850" s="141">
        <v>4000</v>
      </c>
      <c r="O1850" s="141" t="s">
        <v>4330</v>
      </c>
      <c r="P1850" s="141" t="s">
        <v>4348</v>
      </c>
    </row>
    <row r="1851" spans="1:16" ht="25.5">
      <c r="A1851" s="141">
        <v>76807</v>
      </c>
      <c r="B1851" s="141" t="s">
        <v>4325</v>
      </c>
      <c r="C1851" s="142">
        <v>41201</v>
      </c>
      <c r="D1851" s="141">
        <v>747</v>
      </c>
      <c r="E1851" s="141" t="str">
        <f t="shared" si="153"/>
        <v>001</v>
      </c>
      <c r="F1851" s="141" t="s">
        <v>4326</v>
      </c>
      <c r="G1851" s="141" t="str">
        <f>"1493"</f>
        <v>1493</v>
      </c>
      <c r="H1851" s="141" t="s">
        <v>1069</v>
      </c>
      <c r="I1851" s="141" t="str">
        <f t="shared" si="154"/>
        <v>999</v>
      </c>
      <c r="J1851" s="141" t="s">
        <v>4327</v>
      </c>
      <c r="K1851" s="141">
        <v>2488</v>
      </c>
      <c r="L1851" s="141">
        <v>1</v>
      </c>
      <c r="M1851" s="141">
        <v>0</v>
      </c>
      <c r="N1851" s="141">
        <v>5000</v>
      </c>
      <c r="O1851" s="141" t="s">
        <v>4337</v>
      </c>
      <c r="P1851" s="141" t="s">
        <v>4829</v>
      </c>
    </row>
    <row r="1852" spans="1:16" ht="25.5">
      <c r="A1852" s="141">
        <v>76807</v>
      </c>
      <c r="B1852" s="141" t="s">
        <v>4325</v>
      </c>
      <c r="C1852" s="142">
        <v>41201</v>
      </c>
      <c r="D1852" s="141">
        <v>747</v>
      </c>
      <c r="E1852" s="141" t="str">
        <f t="shared" si="153"/>
        <v>001</v>
      </c>
      <c r="F1852" s="141" t="s">
        <v>4326</v>
      </c>
      <c r="G1852" s="141" t="str">
        <f>"1493"</f>
        <v>1493</v>
      </c>
      <c r="H1852" s="141" t="s">
        <v>1069</v>
      </c>
      <c r="I1852" s="141" t="str">
        <f t="shared" si="154"/>
        <v>999</v>
      </c>
      <c r="J1852" s="141" t="s">
        <v>4327</v>
      </c>
      <c r="K1852" s="141">
        <v>2489</v>
      </c>
      <c r="L1852" s="141">
        <v>6</v>
      </c>
      <c r="M1852" s="141">
        <v>0</v>
      </c>
      <c r="N1852" s="141">
        <v>16000</v>
      </c>
      <c r="O1852" s="141" t="s">
        <v>4357</v>
      </c>
      <c r="P1852" s="141" t="s">
        <v>4340</v>
      </c>
    </row>
    <row r="1853" spans="1:16" ht="25.5">
      <c r="A1853" s="141">
        <v>76807</v>
      </c>
      <c r="B1853" s="141" t="s">
        <v>4325</v>
      </c>
      <c r="C1853" s="142">
        <v>41201</v>
      </c>
      <c r="D1853" s="141">
        <v>732</v>
      </c>
      <c r="E1853" s="141" t="str">
        <f t="shared" si="153"/>
        <v>001</v>
      </c>
      <c r="F1853" s="141" t="s">
        <v>4326</v>
      </c>
      <c r="G1853" s="141" t="str">
        <f t="shared" ref="G1853:G1858" si="158">"1497"</f>
        <v>1497</v>
      </c>
      <c r="H1853" s="141" t="s">
        <v>3265</v>
      </c>
      <c r="I1853" s="141" t="str">
        <f t="shared" si="154"/>
        <v>999</v>
      </c>
      <c r="J1853" s="141" t="s">
        <v>4327</v>
      </c>
      <c r="K1853" s="141">
        <v>2301</v>
      </c>
      <c r="L1853" s="141">
        <v>1</v>
      </c>
      <c r="M1853" s="141">
        <v>0</v>
      </c>
      <c r="N1853" s="141">
        <v>3000</v>
      </c>
      <c r="O1853" s="141" t="s">
        <v>4330</v>
      </c>
      <c r="P1853" s="141" t="s">
        <v>4331</v>
      </c>
    </row>
    <row r="1854" spans="1:16" ht="25.5">
      <c r="A1854" s="141">
        <v>76807</v>
      </c>
      <c r="B1854" s="141" t="s">
        <v>4325</v>
      </c>
      <c r="C1854" s="142">
        <v>41201</v>
      </c>
      <c r="D1854" s="141">
        <v>732</v>
      </c>
      <c r="E1854" s="141" t="str">
        <f t="shared" si="153"/>
        <v>001</v>
      </c>
      <c r="F1854" s="141" t="s">
        <v>4326</v>
      </c>
      <c r="G1854" s="141" t="str">
        <f t="shared" si="158"/>
        <v>1497</v>
      </c>
      <c r="H1854" s="141" t="s">
        <v>3265</v>
      </c>
      <c r="I1854" s="141" t="str">
        <f t="shared" si="154"/>
        <v>999</v>
      </c>
      <c r="J1854" s="141" t="s">
        <v>4327</v>
      </c>
      <c r="K1854" s="141">
        <v>2302</v>
      </c>
      <c r="L1854" s="141">
        <v>1</v>
      </c>
      <c r="M1854" s="141">
        <v>0</v>
      </c>
      <c r="N1854" s="141">
        <v>45000</v>
      </c>
      <c r="O1854" s="141" t="s">
        <v>4399</v>
      </c>
      <c r="P1854" s="141" t="s">
        <v>4830</v>
      </c>
    </row>
    <row r="1855" spans="1:16" ht="25.5">
      <c r="A1855" s="141">
        <v>76807</v>
      </c>
      <c r="B1855" s="141" t="s">
        <v>4325</v>
      </c>
      <c r="C1855" s="142">
        <v>41201</v>
      </c>
      <c r="D1855" s="141">
        <v>732</v>
      </c>
      <c r="E1855" s="141" t="str">
        <f t="shared" si="153"/>
        <v>001</v>
      </c>
      <c r="F1855" s="141" t="s">
        <v>4326</v>
      </c>
      <c r="G1855" s="141" t="str">
        <f t="shared" si="158"/>
        <v>1497</v>
      </c>
      <c r="H1855" s="141" t="s">
        <v>3265</v>
      </c>
      <c r="I1855" s="141" t="str">
        <f t="shared" si="154"/>
        <v>999</v>
      </c>
      <c r="J1855" s="141" t="s">
        <v>4327</v>
      </c>
      <c r="K1855" s="141">
        <v>2303</v>
      </c>
      <c r="L1855" s="141">
        <v>1</v>
      </c>
      <c r="M1855" s="141">
        <v>0</v>
      </c>
      <c r="N1855" s="141">
        <v>10000</v>
      </c>
      <c r="O1855" s="141" t="s">
        <v>4397</v>
      </c>
      <c r="P1855" s="141" t="s">
        <v>4831</v>
      </c>
    </row>
    <row r="1856" spans="1:16" ht="25.5">
      <c r="A1856" s="141">
        <v>76807</v>
      </c>
      <c r="B1856" s="141" t="s">
        <v>4325</v>
      </c>
      <c r="C1856" s="142">
        <v>41201</v>
      </c>
      <c r="D1856" s="141">
        <v>732</v>
      </c>
      <c r="E1856" s="141" t="str">
        <f t="shared" si="153"/>
        <v>001</v>
      </c>
      <c r="F1856" s="141" t="s">
        <v>4326</v>
      </c>
      <c r="G1856" s="141" t="str">
        <f t="shared" si="158"/>
        <v>1497</v>
      </c>
      <c r="H1856" s="141" t="s">
        <v>3265</v>
      </c>
      <c r="I1856" s="141" t="str">
        <f t="shared" si="154"/>
        <v>999</v>
      </c>
      <c r="J1856" s="141" t="s">
        <v>4327</v>
      </c>
      <c r="K1856" s="141">
        <v>2304</v>
      </c>
      <c r="L1856" s="141">
        <v>1</v>
      </c>
      <c r="M1856" s="141">
        <v>0</v>
      </c>
      <c r="N1856" s="141">
        <v>5000</v>
      </c>
      <c r="O1856" s="141" t="s">
        <v>4397</v>
      </c>
      <c r="P1856" s="141" t="s">
        <v>4832</v>
      </c>
    </row>
    <row r="1857" spans="1:16" ht="25.5">
      <c r="A1857" s="141">
        <v>76807</v>
      </c>
      <c r="B1857" s="141" t="s">
        <v>4325</v>
      </c>
      <c r="C1857" s="142">
        <v>41201</v>
      </c>
      <c r="D1857" s="141">
        <v>732</v>
      </c>
      <c r="E1857" s="141" t="str">
        <f t="shared" si="153"/>
        <v>001</v>
      </c>
      <c r="F1857" s="141" t="s">
        <v>4326</v>
      </c>
      <c r="G1857" s="141" t="str">
        <f t="shared" si="158"/>
        <v>1497</v>
      </c>
      <c r="H1857" s="141" t="s">
        <v>3265</v>
      </c>
      <c r="I1857" s="141" t="str">
        <f t="shared" si="154"/>
        <v>999</v>
      </c>
      <c r="J1857" s="141" t="s">
        <v>4327</v>
      </c>
      <c r="K1857" s="141">
        <v>2305</v>
      </c>
      <c r="L1857" s="141">
        <v>1</v>
      </c>
      <c r="M1857" s="141">
        <v>0</v>
      </c>
      <c r="N1857" s="141">
        <v>17000</v>
      </c>
      <c r="O1857" s="141" t="s">
        <v>4397</v>
      </c>
      <c r="P1857" s="141" t="s">
        <v>4833</v>
      </c>
    </row>
    <row r="1858" spans="1:16" ht="25.5">
      <c r="A1858" s="141">
        <v>76807</v>
      </c>
      <c r="B1858" s="141" t="s">
        <v>4325</v>
      </c>
      <c r="C1858" s="142">
        <v>41201</v>
      </c>
      <c r="D1858" s="141">
        <v>732</v>
      </c>
      <c r="E1858" s="141" t="str">
        <f t="shared" ref="E1858:E1921" si="159">"001"</f>
        <v>001</v>
      </c>
      <c r="F1858" s="141" t="s">
        <v>4326</v>
      </c>
      <c r="G1858" s="141" t="str">
        <f t="shared" si="158"/>
        <v>1497</v>
      </c>
      <c r="H1858" s="141" t="s">
        <v>3265</v>
      </c>
      <c r="I1858" s="141" t="str">
        <f t="shared" ref="I1858:I1921" si="160">"999"</f>
        <v>999</v>
      </c>
      <c r="J1858" s="141" t="s">
        <v>4327</v>
      </c>
      <c r="K1858" s="141">
        <v>2306</v>
      </c>
      <c r="L1858" s="141">
        <v>14</v>
      </c>
      <c r="M1858" s="141">
        <v>0</v>
      </c>
      <c r="N1858" s="141">
        <v>10000</v>
      </c>
      <c r="O1858" s="141" t="s">
        <v>4343</v>
      </c>
      <c r="P1858" s="141"/>
    </row>
    <row r="1859" spans="1:16" ht="25.5">
      <c r="A1859" s="141">
        <v>76807</v>
      </c>
      <c r="B1859" s="141" t="s">
        <v>4325</v>
      </c>
      <c r="C1859" s="142">
        <v>41201</v>
      </c>
      <c r="D1859" s="141">
        <v>706</v>
      </c>
      <c r="E1859" s="141" t="str">
        <f t="shared" si="159"/>
        <v>001</v>
      </c>
      <c r="F1859" s="141" t="s">
        <v>4326</v>
      </c>
      <c r="G1859" s="141" t="str">
        <f>"1552"</f>
        <v>1552</v>
      </c>
      <c r="H1859" s="141" t="s">
        <v>721</v>
      </c>
      <c r="I1859" s="141" t="str">
        <f t="shared" si="160"/>
        <v>999</v>
      </c>
      <c r="J1859" s="141" t="s">
        <v>4327</v>
      </c>
      <c r="K1859" s="141">
        <v>1994</v>
      </c>
      <c r="L1859" s="141">
        <v>1</v>
      </c>
      <c r="M1859" s="141">
        <v>0</v>
      </c>
      <c r="N1859" s="141">
        <v>7000</v>
      </c>
      <c r="O1859" s="141" t="s">
        <v>4834</v>
      </c>
      <c r="P1859" s="141" t="s">
        <v>4687</v>
      </c>
    </row>
    <row r="1860" spans="1:16" ht="25.5">
      <c r="A1860" s="141">
        <v>76807</v>
      </c>
      <c r="B1860" s="141" t="s">
        <v>4325</v>
      </c>
      <c r="C1860" s="142">
        <v>41201</v>
      </c>
      <c r="D1860" s="141">
        <v>745</v>
      </c>
      <c r="E1860" s="141" t="str">
        <f t="shared" si="159"/>
        <v>001</v>
      </c>
      <c r="F1860" s="141" t="s">
        <v>4326</v>
      </c>
      <c r="G1860" s="141" t="str">
        <f t="shared" ref="G1860:G1868" si="161">"1557"</f>
        <v>1557</v>
      </c>
      <c r="H1860" s="141" t="s">
        <v>1068</v>
      </c>
      <c r="I1860" s="141" t="str">
        <f t="shared" si="160"/>
        <v>999</v>
      </c>
      <c r="J1860" s="141" t="s">
        <v>4327</v>
      </c>
      <c r="K1860" s="141">
        <v>2476</v>
      </c>
      <c r="L1860" s="141">
        <v>1</v>
      </c>
      <c r="M1860" s="141">
        <v>0</v>
      </c>
      <c r="N1860" s="141">
        <v>12000</v>
      </c>
      <c r="O1860" s="141" t="s">
        <v>4337</v>
      </c>
      <c r="P1860" s="141" t="s">
        <v>4835</v>
      </c>
    </row>
    <row r="1861" spans="1:16" ht="25.5">
      <c r="A1861" s="141">
        <v>76807</v>
      </c>
      <c r="B1861" s="141" t="s">
        <v>4325</v>
      </c>
      <c r="C1861" s="142">
        <v>41201</v>
      </c>
      <c r="D1861" s="141">
        <v>745</v>
      </c>
      <c r="E1861" s="141" t="str">
        <f t="shared" si="159"/>
        <v>001</v>
      </c>
      <c r="F1861" s="141" t="s">
        <v>4326</v>
      </c>
      <c r="G1861" s="141" t="str">
        <f t="shared" si="161"/>
        <v>1557</v>
      </c>
      <c r="H1861" s="141" t="s">
        <v>1068</v>
      </c>
      <c r="I1861" s="141" t="str">
        <f t="shared" si="160"/>
        <v>999</v>
      </c>
      <c r="J1861" s="141" t="s">
        <v>4327</v>
      </c>
      <c r="K1861" s="141">
        <v>2477</v>
      </c>
      <c r="L1861" s="141">
        <v>1</v>
      </c>
      <c r="M1861" s="141">
        <v>0</v>
      </c>
      <c r="N1861" s="141">
        <v>8000</v>
      </c>
      <c r="O1861" s="141" t="s">
        <v>4463</v>
      </c>
      <c r="P1861" s="141" t="s">
        <v>4599</v>
      </c>
    </row>
    <row r="1862" spans="1:16" ht="25.5">
      <c r="A1862" s="141">
        <v>76807</v>
      </c>
      <c r="B1862" s="141" t="s">
        <v>4325</v>
      </c>
      <c r="C1862" s="142">
        <v>41201</v>
      </c>
      <c r="D1862" s="141">
        <v>745</v>
      </c>
      <c r="E1862" s="141" t="str">
        <f t="shared" si="159"/>
        <v>001</v>
      </c>
      <c r="F1862" s="141" t="s">
        <v>4326</v>
      </c>
      <c r="G1862" s="141" t="str">
        <f t="shared" si="161"/>
        <v>1557</v>
      </c>
      <c r="H1862" s="141" t="s">
        <v>1068</v>
      </c>
      <c r="I1862" s="141" t="str">
        <f t="shared" si="160"/>
        <v>999</v>
      </c>
      <c r="J1862" s="141" t="s">
        <v>4327</v>
      </c>
      <c r="K1862" s="141">
        <v>2478</v>
      </c>
      <c r="L1862" s="141">
        <v>12</v>
      </c>
      <c r="M1862" s="141">
        <v>0</v>
      </c>
      <c r="N1862" s="141">
        <v>27000</v>
      </c>
      <c r="O1862" s="141" t="s">
        <v>4334</v>
      </c>
      <c r="P1862" s="141" t="s">
        <v>4340</v>
      </c>
    </row>
    <row r="1863" spans="1:16" ht="25.5">
      <c r="A1863" s="141">
        <v>76807</v>
      </c>
      <c r="B1863" s="141" t="s">
        <v>4325</v>
      </c>
      <c r="C1863" s="142">
        <v>41201</v>
      </c>
      <c r="D1863" s="141">
        <v>745</v>
      </c>
      <c r="E1863" s="141" t="str">
        <f t="shared" si="159"/>
        <v>001</v>
      </c>
      <c r="F1863" s="141" t="s">
        <v>4326</v>
      </c>
      <c r="G1863" s="141" t="str">
        <f t="shared" si="161"/>
        <v>1557</v>
      </c>
      <c r="H1863" s="141" t="s">
        <v>1068</v>
      </c>
      <c r="I1863" s="141" t="str">
        <f t="shared" si="160"/>
        <v>999</v>
      </c>
      <c r="J1863" s="141" t="s">
        <v>4327</v>
      </c>
      <c r="K1863" s="141">
        <v>2479</v>
      </c>
      <c r="L1863" s="141">
        <v>4</v>
      </c>
      <c r="M1863" s="141">
        <v>0</v>
      </c>
      <c r="N1863" s="141">
        <v>12000</v>
      </c>
      <c r="O1863" s="141" t="s">
        <v>4334</v>
      </c>
      <c r="P1863" s="141" t="s">
        <v>4335</v>
      </c>
    </row>
    <row r="1864" spans="1:16" ht="25.5">
      <c r="A1864" s="141">
        <v>76807</v>
      </c>
      <c r="B1864" s="141" t="s">
        <v>4325</v>
      </c>
      <c r="C1864" s="142">
        <v>41201</v>
      </c>
      <c r="D1864" s="141">
        <v>745</v>
      </c>
      <c r="E1864" s="141" t="str">
        <f t="shared" si="159"/>
        <v>001</v>
      </c>
      <c r="F1864" s="141" t="s">
        <v>4326</v>
      </c>
      <c r="G1864" s="141" t="str">
        <f t="shared" si="161"/>
        <v>1557</v>
      </c>
      <c r="H1864" s="141" t="s">
        <v>1068</v>
      </c>
      <c r="I1864" s="141" t="str">
        <f t="shared" si="160"/>
        <v>999</v>
      </c>
      <c r="J1864" s="141" t="s">
        <v>4327</v>
      </c>
      <c r="K1864" s="141">
        <v>2480</v>
      </c>
      <c r="L1864" s="141">
        <v>13</v>
      </c>
      <c r="M1864" s="141">
        <v>0</v>
      </c>
      <c r="N1864" s="141">
        <v>19000</v>
      </c>
      <c r="O1864" s="141" t="s">
        <v>4334</v>
      </c>
      <c r="P1864" s="141" t="s">
        <v>4363</v>
      </c>
    </row>
    <row r="1865" spans="1:16" ht="25.5">
      <c r="A1865" s="141">
        <v>76807</v>
      </c>
      <c r="B1865" s="141" t="s">
        <v>4325</v>
      </c>
      <c r="C1865" s="142">
        <v>41201</v>
      </c>
      <c r="D1865" s="141">
        <v>745</v>
      </c>
      <c r="E1865" s="141" t="str">
        <f t="shared" si="159"/>
        <v>001</v>
      </c>
      <c r="F1865" s="141" t="s">
        <v>4326</v>
      </c>
      <c r="G1865" s="141" t="str">
        <f t="shared" si="161"/>
        <v>1557</v>
      </c>
      <c r="H1865" s="141" t="s">
        <v>1068</v>
      </c>
      <c r="I1865" s="141" t="str">
        <f t="shared" si="160"/>
        <v>999</v>
      </c>
      <c r="J1865" s="141" t="s">
        <v>4327</v>
      </c>
      <c r="K1865" s="141">
        <v>2481</v>
      </c>
      <c r="L1865" s="141">
        <v>1</v>
      </c>
      <c r="M1865" s="141">
        <v>0</v>
      </c>
      <c r="N1865" s="141">
        <v>4000</v>
      </c>
      <c r="O1865" s="141" t="s">
        <v>4330</v>
      </c>
      <c r="P1865" s="141" t="s">
        <v>4348</v>
      </c>
    </row>
    <row r="1866" spans="1:16" ht="25.5">
      <c r="A1866" s="141">
        <v>76807</v>
      </c>
      <c r="B1866" s="141" t="s">
        <v>4325</v>
      </c>
      <c r="C1866" s="142">
        <v>41201</v>
      </c>
      <c r="D1866" s="141">
        <v>745</v>
      </c>
      <c r="E1866" s="141" t="str">
        <f t="shared" si="159"/>
        <v>001</v>
      </c>
      <c r="F1866" s="141" t="s">
        <v>4326</v>
      </c>
      <c r="G1866" s="141" t="str">
        <f t="shared" si="161"/>
        <v>1557</v>
      </c>
      <c r="H1866" s="141" t="s">
        <v>1068</v>
      </c>
      <c r="I1866" s="141" t="str">
        <f t="shared" si="160"/>
        <v>999</v>
      </c>
      <c r="J1866" s="141" t="s">
        <v>4327</v>
      </c>
      <c r="K1866" s="141">
        <v>2482</v>
      </c>
      <c r="L1866" s="141">
        <v>2</v>
      </c>
      <c r="M1866" s="141">
        <v>0</v>
      </c>
      <c r="N1866" s="141">
        <v>6000</v>
      </c>
      <c r="O1866" s="141" t="s">
        <v>4836</v>
      </c>
      <c r="P1866" s="141"/>
    </row>
    <row r="1867" spans="1:16" ht="25.5">
      <c r="A1867" s="141">
        <v>76807</v>
      </c>
      <c r="B1867" s="141" t="s">
        <v>4325</v>
      </c>
      <c r="C1867" s="142">
        <v>41201</v>
      </c>
      <c r="D1867" s="141">
        <v>745</v>
      </c>
      <c r="E1867" s="141" t="str">
        <f t="shared" si="159"/>
        <v>001</v>
      </c>
      <c r="F1867" s="141" t="s">
        <v>4326</v>
      </c>
      <c r="G1867" s="141" t="str">
        <f t="shared" si="161"/>
        <v>1557</v>
      </c>
      <c r="H1867" s="141" t="s">
        <v>1068</v>
      </c>
      <c r="I1867" s="141" t="str">
        <f t="shared" si="160"/>
        <v>999</v>
      </c>
      <c r="J1867" s="141" t="s">
        <v>4327</v>
      </c>
      <c r="K1867" s="141">
        <v>2483</v>
      </c>
      <c r="L1867" s="141">
        <v>6</v>
      </c>
      <c r="M1867" s="141">
        <v>0</v>
      </c>
      <c r="N1867" s="141">
        <v>3000</v>
      </c>
      <c r="O1867" s="141" t="s">
        <v>4350</v>
      </c>
      <c r="P1867" s="141"/>
    </row>
    <row r="1868" spans="1:16" ht="25.5">
      <c r="A1868" s="141">
        <v>76807</v>
      </c>
      <c r="B1868" s="141" t="s">
        <v>4325</v>
      </c>
      <c r="C1868" s="142">
        <v>41201</v>
      </c>
      <c r="D1868" s="141">
        <v>745</v>
      </c>
      <c r="E1868" s="141" t="str">
        <f t="shared" si="159"/>
        <v>001</v>
      </c>
      <c r="F1868" s="141" t="s">
        <v>4326</v>
      </c>
      <c r="G1868" s="141" t="str">
        <f t="shared" si="161"/>
        <v>1557</v>
      </c>
      <c r="H1868" s="141" t="s">
        <v>1068</v>
      </c>
      <c r="I1868" s="141" t="str">
        <f t="shared" si="160"/>
        <v>999</v>
      </c>
      <c r="J1868" s="141" t="s">
        <v>4327</v>
      </c>
      <c r="K1868" s="141">
        <v>2484</v>
      </c>
      <c r="L1868" s="141">
        <v>2</v>
      </c>
      <c r="M1868" s="141">
        <v>0</v>
      </c>
      <c r="N1868" s="141">
        <v>1000</v>
      </c>
      <c r="O1868" s="141" t="s">
        <v>4381</v>
      </c>
      <c r="P1868" s="141"/>
    </row>
    <row r="1869" spans="1:16" ht="25.5">
      <c r="A1869" s="141">
        <v>76807</v>
      </c>
      <c r="B1869" s="141" t="s">
        <v>4325</v>
      </c>
      <c r="C1869" s="142">
        <v>41201</v>
      </c>
      <c r="D1869" s="141">
        <v>750</v>
      </c>
      <c r="E1869" s="141" t="str">
        <f t="shared" si="159"/>
        <v>001</v>
      </c>
      <c r="F1869" s="141" t="s">
        <v>4326</v>
      </c>
      <c r="G1869" s="141" t="str">
        <f t="shared" ref="G1869:G1876" si="162">"1574"</f>
        <v>1574</v>
      </c>
      <c r="H1869" s="141" t="s">
        <v>4837</v>
      </c>
      <c r="I1869" s="141" t="str">
        <f t="shared" si="160"/>
        <v>999</v>
      </c>
      <c r="J1869" s="141" t="s">
        <v>4327</v>
      </c>
      <c r="K1869" s="141">
        <v>2502</v>
      </c>
      <c r="L1869" s="141">
        <v>1</v>
      </c>
      <c r="M1869" s="141">
        <v>0</v>
      </c>
      <c r="N1869" s="141">
        <v>31000</v>
      </c>
      <c r="O1869" s="141" t="s">
        <v>4399</v>
      </c>
      <c r="P1869" s="141" t="s">
        <v>4520</v>
      </c>
    </row>
    <row r="1870" spans="1:16" ht="25.5">
      <c r="A1870" s="141">
        <v>76807</v>
      </c>
      <c r="B1870" s="141" t="s">
        <v>4325</v>
      </c>
      <c r="C1870" s="142">
        <v>41201</v>
      </c>
      <c r="D1870" s="141">
        <v>750</v>
      </c>
      <c r="E1870" s="141" t="str">
        <f t="shared" si="159"/>
        <v>001</v>
      </c>
      <c r="F1870" s="141" t="s">
        <v>4326</v>
      </c>
      <c r="G1870" s="141" t="str">
        <f t="shared" si="162"/>
        <v>1574</v>
      </c>
      <c r="H1870" s="141" t="s">
        <v>4837</v>
      </c>
      <c r="I1870" s="141" t="str">
        <f t="shared" si="160"/>
        <v>999</v>
      </c>
      <c r="J1870" s="141" t="s">
        <v>4327</v>
      </c>
      <c r="K1870" s="141">
        <v>2503</v>
      </c>
      <c r="L1870" s="141">
        <v>1</v>
      </c>
      <c r="M1870" s="141">
        <v>0</v>
      </c>
      <c r="N1870" s="141">
        <v>31000</v>
      </c>
      <c r="O1870" s="141" t="s">
        <v>4399</v>
      </c>
      <c r="P1870" s="141" t="s">
        <v>4520</v>
      </c>
    </row>
    <row r="1871" spans="1:16" ht="25.5">
      <c r="A1871" s="141">
        <v>76807</v>
      </c>
      <c r="B1871" s="141" t="s">
        <v>4325</v>
      </c>
      <c r="C1871" s="142">
        <v>41201</v>
      </c>
      <c r="D1871" s="141">
        <v>750</v>
      </c>
      <c r="E1871" s="141" t="str">
        <f t="shared" si="159"/>
        <v>001</v>
      </c>
      <c r="F1871" s="141" t="s">
        <v>4326</v>
      </c>
      <c r="G1871" s="141" t="str">
        <f t="shared" si="162"/>
        <v>1574</v>
      </c>
      <c r="H1871" s="141" t="s">
        <v>4837</v>
      </c>
      <c r="I1871" s="141" t="str">
        <f t="shared" si="160"/>
        <v>999</v>
      </c>
      <c r="J1871" s="141" t="s">
        <v>4327</v>
      </c>
      <c r="K1871" s="141">
        <v>2504</v>
      </c>
      <c r="L1871" s="141">
        <v>1</v>
      </c>
      <c r="M1871" s="141">
        <v>0</v>
      </c>
      <c r="N1871" s="141">
        <v>31000</v>
      </c>
      <c r="O1871" s="141" t="s">
        <v>4399</v>
      </c>
      <c r="P1871" s="141" t="s">
        <v>4520</v>
      </c>
    </row>
    <row r="1872" spans="1:16" ht="25.5">
      <c r="A1872" s="141">
        <v>76807</v>
      </c>
      <c r="B1872" s="141" t="s">
        <v>4325</v>
      </c>
      <c r="C1872" s="142">
        <v>41201</v>
      </c>
      <c r="D1872" s="141">
        <v>750</v>
      </c>
      <c r="E1872" s="141" t="str">
        <f t="shared" si="159"/>
        <v>001</v>
      </c>
      <c r="F1872" s="141" t="s">
        <v>4326</v>
      </c>
      <c r="G1872" s="141" t="str">
        <f t="shared" si="162"/>
        <v>1574</v>
      </c>
      <c r="H1872" s="141" t="s">
        <v>4837</v>
      </c>
      <c r="I1872" s="141" t="str">
        <f t="shared" si="160"/>
        <v>999</v>
      </c>
      <c r="J1872" s="141" t="s">
        <v>4327</v>
      </c>
      <c r="K1872" s="141">
        <v>2505</v>
      </c>
      <c r="L1872" s="141">
        <v>1</v>
      </c>
      <c r="M1872" s="141">
        <v>0</v>
      </c>
      <c r="N1872" s="141">
        <v>13000</v>
      </c>
      <c r="O1872" s="141" t="s">
        <v>4351</v>
      </c>
      <c r="P1872" s="141" t="s">
        <v>4469</v>
      </c>
    </row>
    <row r="1873" spans="1:16" ht="25.5">
      <c r="A1873" s="141">
        <v>76807</v>
      </c>
      <c r="B1873" s="141" t="s">
        <v>4325</v>
      </c>
      <c r="C1873" s="142">
        <v>41201</v>
      </c>
      <c r="D1873" s="141">
        <v>750</v>
      </c>
      <c r="E1873" s="141" t="str">
        <f t="shared" si="159"/>
        <v>001</v>
      </c>
      <c r="F1873" s="141" t="s">
        <v>4326</v>
      </c>
      <c r="G1873" s="141" t="str">
        <f t="shared" si="162"/>
        <v>1574</v>
      </c>
      <c r="H1873" s="141" t="s">
        <v>4837</v>
      </c>
      <c r="I1873" s="141" t="str">
        <f t="shared" si="160"/>
        <v>999</v>
      </c>
      <c r="J1873" s="141" t="s">
        <v>4327</v>
      </c>
      <c r="K1873" s="141">
        <v>2506</v>
      </c>
      <c r="L1873" s="141">
        <v>1</v>
      </c>
      <c r="M1873" s="141">
        <v>0</v>
      </c>
      <c r="N1873" s="141">
        <v>15000</v>
      </c>
      <c r="O1873" s="141" t="s">
        <v>4328</v>
      </c>
      <c r="P1873" s="141" t="s">
        <v>4590</v>
      </c>
    </row>
    <row r="1874" spans="1:16" ht="25.5">
      <c r="A1874" s="141">
        <v>76807</v>
      </c>
      <c r="B1874" s="141" t="s">
        <v>4325</v>
      </c>
      <c r="C1874" s="142">
        <v>41201</v>
      </c>
      <c r="D1874" s="141">
        <v>750</v>
      </c>
      <c r="E1874" s="141" t="str">
        <f t="shared" si="159"/>
        <v>001</v>
      </c>
      <c r="F1874" s="141" t="s">
        <v>4326</v>
      </c>
      <c r="G1874" s="141" t="str">
        <f t="shared" si="162"/>
        <v>1574</v>
      </c>
      <c r="H1874" s="141" t="s">
        <v>4837</v>
      </c>
      <c r="I1874" s="141" t="str">
        <f t="shared" si="160"/>
        <v>999</v>
      </c>
      <c r="J1874" s="141" t="s">
        <v>4327</v>
      </c>
      <c r="K1874" s="141">
        <v>2507</v>
      </c>
      <c r="L1874" s="141">
        <v>10</v>
      </c>
      <c r="M1874" s="141">
        <v>0</v>
      </c>
      <c r="N1874" s="141">
        <v>6000</v>
      </c>
      <c r="O1874" s="141" t="s">
        <v>4350</v>
      </c>
      <c r="P1874" s="141"/>
    </row>
    <row r="1875" spans="1:16" ht="25.5">
      <c r="A1875" s="141">
        <v>76807</v>
      </c>
      <c r="B1875" s="141" t="s">
        <v>4325</v>
      </c>
      <c r="C1875" s="142">
        <v>41201</v>
      </c>
      <c r="D1875" s="141">
        <v>750</v>
      </c>
      <c r="E1875" s="141" t="str">
        <f t="shared" si="159"/>
        <v>001</v>
      </c>
      <c r="F1875" s="141" t="s">
        <v>4326</v>
      </c>
      <c r="G1875" s="141" t="str">
        <f t="shared" si="162"/>
        <v>1574</v>
      </c>
      <c r="H1875" s="141" t="s">
        <v>4837</v>
      </c>
      <c r="I1875" s="141" t="str">
        <f t="shared" si="160"/>
        <v>999</v>
      </c>
      <c r="J1875" s="141" t="s">
        <v>4327</v>
      </c>
      <c r="K1875" s="141">
        <v>2508</v>
      </c>
      <c r="L1875" s="141">
        <v>2</v>
      </c>
      <c r="M1875" s="141">
        <v>0</v>
      </c>
      <c r="N1875" s="141">
        <v>13000</v>
      </c>
      <c r="O1875" s="141" t="s">
        <v>4407</v>
      </c>
      <c r="P1875" s="141"/>
    </row>
    <row r="1876" spans="1:16" ht="25.5">
      <c r="A1876" s="141">
        <v>76807</v>
      </c>
      <c r="B1876" s="141" t="s">
        <v>4325</v>
      </c>
      <c r="C1876" s="142">
        <v>41201</v>
      </c>
      <c r="D1876" s="141">
        <v>750</v>
      </c>
      <c r="E1876" s="141" t="str">
        <f t="shared" si="159"/>
        <v>001</v>
      </c>
      <c r="F1876" s="141" t="s">
        <v>4326</v>
      </c>
      <c r="G1876" s="141" t="str">
        <f t="shared" si="162"/>
        <v>1574</v>
      </c>
      <c r="H1876" s="141" t="s">
        <v>4837</v>
      </c>
      <c r="I1876" s="141" t="str">
        <f t="shared" si="160"/>
        <v>999</v>
      </c>
      <c r="J1876" s="141" t="s">
        <v>4327</v>
      </c>
      <c r="K1876" s="141">
        <v>3387</v>
      </c>
      <c r="L1876" s="141">
        <v>1</v>
      </c>
      <c r="M1876" s="141">
        <v>0</v>
      </c>
      <c r="N1876" s="141">
        <v>175000</v>
      </c>
      <c r="O1876" s="141" t="s">
        <v>4327</v>
      </c>
      <c r="P1876" s="141"/>
    </row>
    <row r="1877" spans="1:16" ht="25.5">
      <c r="A1877" s="141">
        <v>76807</v>
      </c>
      <c r="B1877" s="141" t="s">
        <v>4325</v>
      </c>
      <c r="C1877" s="142">
        <v>41201</v>
      </c>
      <c r="D1877" s="141">
        <v>377</v>
      </c>
      <c r="E1877" s="141" t="str">
        <f t="shared" si="159"/>
        <v>001</v>
      </c>
      <c r="F1877" s="141" t="s">
        <v>4326</v>
      </c>
      <c r="G1877" s="141" t="str">
        <f t="shared" ref="G1877:G1898" si="163">"1587"</f>
        <v>1587</v>
      </c>
      <c r="H1877" s="141" t="s">
        <v>2572</v>
      </c>
      <c r="I1877" s="141" t="str">
        <f t="shared" si="160"/>
        <v>999</v>
      </c>
      <c r="J1877" s="141" t="s">
        <v>4327</v>
      </c>
      <c r="K1877" s="141">
        <v>850</v>
      </c>
      <c r="L1877" s="141">
        <v>1</v>
      </c>
      <c r="M1877" s="141">
        <v>0</v>
      </c>
      <c r="N1877" s="141">
        <v>6000</v>
      </c>
      <c r="O1877" s="141" t="s">
        <v>4330</v>
      </c>
      <c r="P1877" s="141" t="s">
        <v>4348</v>
      </c>
    </row>
    <row r="1878" spans="1:16" ht="25.5">
      <c r="A1878" s="141">
        <v>76807</v>
      </c>
      <c r="B1878" s="141" t="s">
        <v>4325</v>
      </c>
      <c r="C1878" s="142">
        <v>41201</v>
      </c>
      <c r="D1878" s="141">
        <v>377</v>
      </c>
      <c r="E1878" s="141" t="str">
        <f t="shared" si="159"/>
        <v>001</v>
      </c>
      <c r="F1878" s="141" t="s">
        <v>4326</v>
      </c>
      <c r="G1878" s="141" t="str">
        <f t="shared" si="163"/>
        <v>1587</v>
      </c>
      <c r="H1878" s="141" t="s">
        <v>2572</v>
      </c>
      <c r="I1878" s="141" t="str">
        <f t="shared" si="160"/>
        <v>999</v>
      </c>
      <c r="J1878" s="141" t="s">
        <v>4327</v>
      </c>
      <c r="K1878" s="141">
        <v>851</v>
      </c>
      <c r="L1878" s="141">
        <v>1</v>
      </c>
      <c r="M1878" s="141">
        <v>0</v>
      </c>
      <c r="N1878" s="141">
        <v>28000</v>
      </c>
      <c r="O1878" s="141" t="s">
        <v>4388</v>
      </c>
      <c r="P1878" s="141" t="s">
        <v>4838</v>
      </c>
    </row>
    <row r="1879" spans="1:16" ht="25.5">
      <c r="A1879" s="141">
        <v>76807</v>
      </c>
      <c r="B1879" s="141" t="s">
        <v>4325</v>
      </c>
      <c r="C1879" s="142">
        <v>41201</v>
      </c>
      <c r="D1879" s="141">
        <v>377</v>
      </c>
      <c r="E1879" s="141" t="str">
        <f t="shared" si="159"/>
        <v>001</v>
      </c>
      <c r="F1879" s="141" t="s">
        <v>4326</v>
      </c>
      <c r="G1879" s="141" t="str">
        <f t="shared" si="163"/>
        <v>1587</v>
      </c>
      <c r="H1879" s="141" t="s">
        <v>2572</v>
      </c>
      <c r="I1879" s="141" t="str">
        <f t="shared" si="160"/>
        <v>999</v>
      </c>
      <c r="J1879" s="141" t="s">
        <v>4327</v>
      </c>
      <c r="K1879" s="141">
        <v>852</v>
      </c>
      <c r="L1879" s="141">
        <v>1</v>
      </c>
      <c r="M1879" s="141">
        <v>0</v>
      </c>
      <c r="N1879" s="141">
        <v>25000</v>
      </c>
      <c r="O1879" s="141" t="s">
        <v>4328</v>
      </c>
      <c r="P1879" s="141" t="s">
        <v>4839</v>
      </c>
    </row>
    <row r="1880" spans="1:16" ht="25.5">
      <c r="A1880" s="141">
        <v>76807</v>
      </c>
      <c r="B1880" s="141" t="s">
        <v>4325</v>
      </c>
      <c r="C1880" s="142">
        <v>41201</v>
      </c>
      <c r="D1880" s="141">
        <v>377</v>
      </c>
      <c r="E1880" s="141" t="str">
        <f t="shared" si="159"/>
        <v>001</v>
      </c>
      <c r="F1880" s="141" t="s">
        <v>4326</v>
      </c>
      <c r="G1880" s="141" t="str">
        <f t="shared" si="163"/>
        <v>1587</v>
      </c>
      <c r="H1880" s="141" t="s">
        <v>2572</v>
      </c>
      <c r="I1880" s="141" t="str">
        <f t="shared" si="160"/>
        <v>999</v>
      </c>
      <c r="J1880" s="141" t="s">
        <v>4327</v>
      </c>
      <c r="K1880" s="141">
        <v>853</v>
      </c>
      <c r="L1880" s="141">
        <v>1</v>
      </c>
      <c r="M1880" s="141">
        <v>0</v>
      </c>
      <c r="N1880" s="141">
        <v>112000</v>
      </c>
      <c r="O1880" s="141" t="s">
        <v>4366</v>
      </c>
      <c r="P1880" s="141" t="s">
        <v>4367</v>
      </c>
    </row>
    <row r="1881" spans="1:16" ht="25.5">
      <c r="A1881" s="141">
        <v>76807</v>
      </c>
      <c r="B1881" s="141" t="s">
        <v>4325</v>
      </c>
      <c r="C1881" s="142">
        <v>41201</v>
      </c>
      <c r="D1881" s="141">
        <v>377</v>
      </c>
      <c r="E1881" s="141" t="str">
        <f t="shared" si="159"/>
        <v>001</v>
      </c>
      <c r="F1881" s="141" t="s">
        <v>4326</v>
      </c>
      <c r="G1881" s="141" t="str">
        <f t="shared" si="163"/>
        <v>1587</v>
      </c>
      <c r="H1881" s="141" t="s">
        <v>2572</v>
      </c>
      <c r="I1881" s="141" t="str">
        <f t="shared" si="160"/>
        <v>999</v>
      </c>
      <c r="J1881" s="141" t="s">
        <v>4327</v>
      </c>
      <c r="K1881" s="141">
        <v>854</v>
      </c>
      <c r="L1881" s="141">
        <v>1</v>
      </c>
      <c r="M1881" s="141">
        <v>0</v>
      </c>
      <c r="N1881" s="141">
        <v>3000</v>
      </c>
      <c r="O1881" s="141" t="s">
        <v>4353</v>
      </c>
      <c r="P1881" s="141" t="s">
        <v>4365</v>
      </c>
    </row>
    <row r="1882" spans="1:16" ht="25.5">
      <c r="A1882" s="141">
        <v>76807</v>
      </c>
      <c r="B1882" s="141" t="s">
        <v>4325</v>
      </c>
      <c r="C1882" s="142">
        <v>41201</v>
      </c>
      <c r="D1882" s="141">
        <v>377</v>
      </c>
      <c r="E1882" s="141" t="str">
        <f t="shared" si="159"/>
        <v>001</v>
      </c>
      <c r="F1882" s="141" t="s">
        <v>4326</v>
      </c>
      <c r="G1882" s="141" t="str">
        <f t="shared" si="163"/>
        <v>1587</v>
      </c>
      <c r="H1882" s="141" t="s">
        <v>2572</v>
      </c>
      <c r="I1882" s="141" t="str">
        <f t="shared" si="160"/>
        <v>999</v>
      </c>
      <c r="J1882" s="141" t="s">
        <v>4327</v>
      </c>
      <c r="K1882" s="141">
        <v>855</v>
      </c>
      <c r="L1882" s="141">
        <v>1</v>
      </c>
      <c r="M1882" s="141">
        <v>0</v>
      </c>
      <c r="N1882" s="141">
        <v>3000</v>
      </c>
      <c r="O1882" s="141" t="s">
        <v>4353</v>
      </c>
      <c r="P1882" s="141" t="s">
        <v>4365</v>
      </c>
    </row>
    <row r="1883" spans="1:16" ht="25.5">
      <c r="A1883" s="141">
        <v>76807</v>
      </c>
      <c r="B1883" s="141" t="s">
        <v>4325</v>
      </c>
      <c r="C1883" s="142">
        <v>41201</v>
      </c>
      <c r="D1883" s="141">
        <v>377</v>
      </c>
      <c r="E1883" s="141" t="str">
        <f t="shared" si="159"/>
        <v>001</v>
      </c>
      <c r="F1883" s="141" t="s">
        <v>4326</v>
      </c>
      <c r="G1883" s="141" t="str">
        <f t="shared" si="163"/>
        <v>1587</v>
      </c>
      <c r="H1883" s="141" t="s">
        <v>2572</v>
      </c>
      <c r="I1883" s="141" t="str">
        <f t="shared" si="160"/>
        <v>999</v>
      </c>
      <c r="J1883" s="141" t="s">
        <v>4327</v>
      </c>
      <c r="K1883" s="141">
        <v>856</v>
      </c>
      <c r="L1883" s="141">
        <v>1</v>
      </c>
      <c r="M1883" s="141">
        <v>0</v>
      </c>
      <c r="N1883" s="141">
        <v>9000</v>
      </c>
      <c r="O1883" s="141" t="s">
        <v>4357</v>
      </c>
      <c r="P1883" s="141" t="s">
        <v>4360</v>
      </c>
    </row>
    <row r="1884" spans="1:16" ht="25.5">
      <c r="A1884" s="141">
        <v>76807</v>
      </c>
      <c r="B1884" s="141" t="s">
        <v>4325</v>
      </c>
      <c r="C1884" s="142">
        <v>41201</v>
      </c>
      <c r="D1884" s="141">
        <v>377</v>
      </c>
      <c r="E1884" s="141" t="str">
        <f t="shared" si="159"/>
        <v>001</v>
      </c>
      <c r="F1884" s="141" t="s">
        <v>4326</v>
      </c>
      <c r="G1884" s="141" t="str">
        <f t="shared" si="163"/>
        <v>1587</v>
      </c>
      <c r="H1884" s="141" t="s">
        <v>2572</v>
      </c>
      <c r="I1884" s="141" t="str">
        <f t="shared" si="160"/>
        <v>999</v>
      </c>
      <c r="J1884" s="141" t="s">
        <v>4327</v>
      </c>
      <c r="K1884" s="141">
        <v>857</v>
      </c>
      <c r="L1884" s="141">
        <v>4</v>
      </c>
      <c r="M1884" s="141">
        <v>0</v>
      </c>
      <c r="N1884" s="141">
        <v>30000</v>
      </c>
      <c r="O1884" s="141" t="s">
        <v>4357</v>
      </c>
      <c r="P1884" s="141" t="s">
        <v>4562</v>
      </c>
    </row>
    <row r="1885" spans="1:16" ht="25.5">
      <c r="A1885" s="141">
        <v>76807</v>
      </c>
      <c r="B1885" s="141" t="s">
        <v>4325</v>
      </c>
      <c r="C1885" s="142">
        <v>41201</v>
      </c>
      <c r="D1885" s="141">
        <v>377</v>
      </c>
      <c r="E1885" s="141" t="str">
        <f t="shared" si="159"/>
        <v>001</v>
      </c>
      <c r="F1885" s="141" t="s">
        <v>4326</v>
      </c>
      <c r="G1885" s="141" t="str">
        <f t="shared" si="163"/>
        <v>1587</v>
      </c>
      <c r="H1885" s="141" t="s">
        <v>2572</v>
      </c>
      <c r="I1885" s="141" t="str">
        <f t="shared" si="160"/>
        <v>999</v>
      </c>
      <c r="J1885" s="141" t="s">
        <v>4327</v>
      </c>
      <c r="K1885" s="141">
        <v>858</v>
      </c>
      <c r="L1885" s="141">
        <v>10</v>
      </c>
      <c r="M1885" s="141">
        <v>0</v>
      </c>
      <c r="N1885" s="141">
        <v>31000</v>
      </c>
      <c r="O1885" s="141" t="s">
        <v>4339</v>
      </c>
      <c r="P1885" s="141" t="s">
        <v>4335</v>
      </c>
    </row>
    <row r="1886" spans="1:16" ht="25.5">
      <c r="A1886" s="141">
        <v>76807</v>
      </c>
      <c r="B1886" s="141" t="s">
        <v>4325</v>
      </c>
      <c r="C1886" s="142">
        <v>41201</v>
      </c>
      <c r="D1886" s="141">
        <v>377</v>
      </c>
      <c r="E1886" s="141" t="str">
        <f t="shared" si="159"/>
        <v>001</v>
      </c>
      <c r="F1886" s="141" t="s">
        <v>4326</v>
      </c>
      <c r="G1886" s="141" t="str">
        <f t="shared" si="163"/>
        <v>1587</v>
      </c>
      <c r="H1886" s="141" t="s">
        <v>2572</v>
      </c>
      <c r="I1886" s="141" t="str">
        <f t="shared" si="160"/>
        <v>999</v>
      </c>
      <c r="J1886" s="141" t="s">
        <v>4327</v>
      </c>
      <c r="K1886" s="141">
        <v>859</v>
      </c>
      <c r="L1886" s="141">
        <v>5</v>
      </c>
      <c r="M1886" s="141">
        <v>0</v>
      </c>
      <c r="N1886" s="141">
        <v>8000</v>
      </c>
      <c r="O1886" s="141" t="s">
        <v>4339</v>
      </c>
      <c r="P1886" s="141" t="s">
        <v>4363</v>
      </c>
    </row>
    <row r="1887" spans="1:16" ht="25.5">
      <c r="A1887" s="141">
        <v>76807</v>
      </c>
      <c r="B1887" s="141" t="s">
        <v>4325</v>
      </c>
      <c r="C1887" s="142">
        <v>41201</v>
      </c>
      <c r="D1887" s="141">
        <v>377</v>
      </c>
      <c r="E1887" s="141" t="str">
        <f t="shared" si="159"/>
        <v>001</v>
      </c>
      <c r="F1887" s="141" t="s">
        <v>4326</v>
      </c>
      <c r="G1887" s="141" t="str">
        <f t="shared" si="163"/>
        <v>1587</v>
      </c>
      <c r="H1887" s="141" t="s">
        <v>2572</v>
      </c>
      <c r="I1887" s="141" t="str">
        <f t="shared" si="160"/>
        <v>999</v>
      </c>
      <c r="J1887" s="141" t="s">
        <v>4327</v>
      </c>
      <c r="K1887" s="141">
        <v>860</v>
      </c>
      <c r="L1887" s="141">
        <v>9</v>
      </c>
      <c r="M1887" s="141">
        <v>0</v>
      </c>
      <c r="N1887" s="141">
        <v>80000</v>
      </c>
      <c r="O1887" s="141" t="s">
        <v>4357</v>
      </c>
      <c r="P1887" s="141" t="s">
        <v>4360</v>
      </c>
    </row>
    <row r="1888" spans="1:16" ht="25.5">
      <c r="A1888" s="141">
        <v>76807</v>
      </c>
      <c r="B1888" s="141" t="s">
        <v>4325</v>
      </c>
      <c r="C1888" s="142">
        <v>41201</v>
      </c>
      <c r="D1888" s="141">
        <v>377</v>
      </c>
      <c r="E1888" s="141" t="str">
        <f t="shared" si="159"/>
        <v>001</v>
      </c>
      <c r="F1888" s="141" t="s">
        <v>4326</v>
      </c>
      <c r="G1888" s="141" t="str">
        <f t="shared" si="163"/>
        <v>1587</v>
      </c>
      <c r="H1888" s="141" t="s">
        <v>2572</v>
      </c>
      <c r="I1888" s="141" t="str">
        <f t="shared" si="160"/>
        <v>999</v>
      </c>
      <c r="J1888" s="141" t="s">
        <v>4327</v>
      </c>
      <c r="K1888" s="141">
        <v>861</v>
      </c>
      <c r="L1888" s="141">
        <v>1</v>
      </c>
      <c r="M1888" s="141">
        <v>0</v>
      </c>
      <c r="N1888" s="141">
        <v>106000</v>
      </c>
      <c r="O1888" s="141" t="s">
        <v>4368</v>
      </c>
      <c r="P1888" s="141"/>
    </row>
    <row r="1889" spans="1:16" ht="25.5">
      <c r="A1889" s="141">
        <v>76807</v>
      </c>
      <c r="B1889" s="141" t="s">
        <v>4325</v>
      </c>
      <c r="C1889" s="142">
        <v>41201</v>
      </c>
      <c r="D1889" s="141">
        <v>377</v>
      </c>
      <c r="E1889" s="141" t="str">
        <f t="shared" si="159"/>
        <v>001</v>
      </c>
      <c r="F1889" s="141" t="s">
        <v>4326</v>
      </c>
      <c r="G1889" s="141" t="str">
        <f t="shared" si="163"/>
        <v>1587</v>
      </c>
      <c r="H1889" s="141" t="s">
        <v>2572</v>
      </c>
      <c r="I1889" s="141" t="str">
        <f t="shared" si="160"/>
        <v>999</v>
      </c>
      <c r="J1889" s="141" t="s">
        <v>4327</v>
      </c>
      <c r="K1889" s="141">
        <v>862</v>
      </c>
      <c r="L1889" s="141">
        <v>1</v>
      </c>
      <c r="M1889" s="141">
        <v>0</v>
      </c>
      <c r="N1889" s="141">
        <v>3000</v>
      </c>
      <c r="O1889" s="141" t="s">
        <v>4369</v>
      </c>
      <c r="P1889" s="141" t="s">
        <v>4481</v>
      </c>
    </row>
    <row r="1890" spans="1:16" ht="25.5">
      <c r="A1890" s="141">
        <v>76807</v>
      </c>
      <c r="B1890" s="141" t="s">
        <v>4325</v>
      </c>
      <c r="C1890" s="142">
        <v>41201</v>
      </c>
      <c r="D1890" s="141">
        <v>377</v>
      </c>
      <c r="E1890" s="141" t="str">
        <f t="shared" si="159"/>
        <v>001</v>
      </c>
      <c r="F1890" s="141" t="s">
        <v>4326</v>
      </c>
      <c r="G1890" s="141" t="str">
        <f t="shared" si="163"/>
        <v>1587</v>
      </c>
      <c r="H1890" s="141" t="s">
        <v>2572</v>
      </c>
      <c r="I1890" s="141" t="str">
        <f t="shared" si="160"/>
        <v>999</v>
      </c>
      <c r="J1890" s="141" t="s">
        <v>4327</v>
      </c>
      <c r="K1890" s="141">
        <v>863</v>
      </c>
      <c r="L1890" s="141">
        <v>12</v>
      </c>
      <c r="M1890" s="141">
        <v>0</v>
      </c>
      <c r="N1890" s="141">
        <v>9000</v>
      </c>
      <c r="O1890" s="141" t="s">
        <v>4343</v>
      </c>
      <c r="P1890" s="141"/>
    </row>
    <row r="1891" spans="1:16" ht="25.5">
      <c r="A1891" s="141">
        <v>76807</v>
      </c>
      <c r="B1891" s="141" t="s">
        <v>4325</v>
      </c>
      <c r="C1891" s="142">
        <v>41201</v>
      </c>
      <c r="D1891" s="141">
        <v>377</v>
      </c>
      <c r="E1891" s="141" t="str">
        <f t="shared" si="159"/>
        <v>001</v>
      </c>
      <c r="F1891" s="141" t="s">
        <v>4326</v>
      </c>
      <c r="G1891" s="141" t="str">
        <f t="shared" si="163"/>
        <v>1587</v>
      </c>
      <c r="H1891" s="141" t="s">
        <v>2572</v>
      </c>
      <c r="I1891" s="141" t="str">
        <f t="shared" si="160"/>
        <v>999</v>
      </c>
      <c r="J1891" s="141" t="s">
        <v>4327</v>
      </c>
      <c r="K1891" s="141">
        <v>864</v>
      </c>
      <c r="L1891" s="141">
        <v>12</v>
      </c>
      <c r="M1891" s="141">
        <v>0</v>
      </c>
      <c r="N1891" s="141">
        <v>7000</v>
      </c>
      <c r="O1891" s="141" t="s">
        <v>4350</v>
      </c>
      <c r="P1891" s="141"/>
    </row>
    <row r="1892" spans="1:16" ht="25.5">
      <c r="A1892" s="141">
        <v>76807</v>
      </c>
      <c r="B1892" s="141" t="s">
        <v>4325</v>
      </c>
      <c r="C1892" s="142">
        <v>41201</v>
      </c>
      <c r="D1892" s="141">
        <v>377</v>
      </c>
      <c r="E1892" s="141" t="str">
        <f t="shared" si="159"/>
        <v>001</v>
      </c>
      <c r="F1892" s="141" t="s">
        <v>4326</v>
      </c>
      <c r="G1892" s="141" t="str">
        <f t="shared" si="163"/>
        <v>1587</v>
      </c>
      <c r="H1892" s="141" t="s">
        <v>2572</v>
      </c>
      <c r="I1892" s="141" t="str">
        <f t="shared" si="160"/>
        <v>999</v>
      </c>
      <c r="J1892" s="141" t="s">
        <v>4327</v>
      </c>
      <c r="K1892" s="141">
        <v>865</v>
      </c>
      <c r="L1892" s="141">
        <v>1</v>
      </c>
      <c r="M1892" s="141">
        <v>0</v>
      </c>
      <c r="N1892" s="141">
        <v>4000</v>
      </c>
      <c r="O1892" s="141" t="s">
        <v>4371</v>
      </c>
      <c r="P1892" s="141" t="s">
        <v>4372</v>
      </c>
    </row>
    <row r="1893" spans="1:16" ht="25.5">
      <c r="A1893" s="141">
        <v>76807</v>
      </c>
      <c r="B1893" s="141" t="s">
        <v>4325</v>
      </c>
      <c r="C1893" s="142">
        <v>41201</v>
      </c>
      <c r="D1893" s="141">
        <v>377</v>
      </c>
      <c r="E1893" s="141" t="str">
        <f t="shared" si="159"/>
        <v>001</v>
      </c>
      <c r="F1893" s="141" t="s">
        <v>4326</v>
      </c>
      <c r="G1893" s="141" t="str">
        <f t="shared" si="163"/>
        <v>1587</v>
      </c>
      <c r="H1893" s="141" t="s">
        <v>2572</v>
      </c>
      <c r="I1893" s="141" t="str">
        <f t="shared" si="160"/>
        <v>999</v>
      </c>
      <c r="J1893" s="141" t="s">
        <v>4327</v>
      </c>
      <c r="K1893" s="141">
        <v>866</v>
      </c>
      <c r="L1893" s="141">
        <v>1</v>
      </c>
      <c r="M1893" s="141">
        <v>0</v>
      </c>
      <c r="N1893" s="141">
        <v>4000</v>
      </c>
      <c r="O1893" s="141" t="s">
        <v>4371</v>
      </c>
      <c r="P1893" s="141" t="s">
        <v>4372</v>
      </c>
    </row>
    <row r="1894" spans="1:16" ht="25.5">
      <c r="A1894" s="141">
        <v>76807</v>
      </c>
      <c r="B1894" s="141" t="s">
        <v>4325</v>
      </c>
      <c r="C1894" s="142">
        <v>41201</v>
      </c>
      <c r="D1894" s="141">
        <v>377</v>
      </c>
      <c r="E1894" s="141" t="str">
        <f t="shared" si="159"/>
        <v>001</v>
      </c>
      <c r="F1894" s="141" t="s">
        <v>4326</v>
      </c>
      <c r="G1894" s="141" t="str">
        <f t="shared" si="163"/>
        <v>1587</v>
      </c>
      <c r="H1894" s="141" t="s">
        <v>2572</v>
      </c>
      <c r="I1894" s="141" t="str">
        <f t="shared" si="160"/>
        <v>999</v>
      </c>
      <c r="J1894" s="141" t="s">
        <v>4327</v>
      </c>
      <c r="K1894" s="141">
        <v>867</v>
      </c>
      <c r="L1894" s="141">
        <v>1</v>
      </c>
      <c r="M1894" s="141">
        <v>0</v>
      </c>
      <c r="N1894" s="141">
        <v>3000</v>
      </c>
      <c r="O1894" s="141" t="s">
        <v>4405</v>
      </c>
      <c r="P1894" s="141" t="s">
        <v>4372</v>
      </c>
    </row>
    <row r="1895" spans="1:16" ht="25.5">
      <c r="A1895" s="141">
        <v>76807</v>
      </c>
      <c r="B1895" s="141" t="s">
        <v>4325</v>
      </c>
      <c r="C1895" s="142">
        <v>41201</v>
      </c>
      <c r="D1895" s="141">
        <v>377</v>
      </c>
      <c r="E1895" s="141" t="str">
        <f t="shared" si="159"/>
        <v>001</v>
      </c>
      <c r="F1895" s="141" t="s">
        <v>4326</v>
      </c>
      <c r="G1895" s="141" t="str">
        <f t="shared" si="163"/>
        <v>1587</v>
      </c>
      <c r="H1895" s="141" t="s">
        <v>2572</v>
      </c>
      <c r="I1895" s="141" t="str">
        <f t="shared" si="160"/>
        <v>999</v>
      </c>
      <c r="J1895" s="141" t="s">
        <v>4327</v>
      </c>
      <c r="K1895" s="141">
        <v>868</v>
      </c>
      <c r="L1895" s="141">
        <v>1</v>
      </c>
      <c r="M1895" s="141">
        <v>0</v>
      </c>
      <c r="N1895" s="141">
        <v>3000</v>
      </c>
      <c r="O1895" s="141" t="s">
        <v>4405</v>
      </c>
      <c r="P1895" s="141" t="s">
        <v>4372</v>
      </c>
    </row>
    <row r="1896" spans="1:16" ht="25.5">
      <c r="A1896" s="141">
        <v>76807</v>
      </c>
      <c r="B1896" s="141" t="s">
        <v>4325</v>
      </c>
      <c r="C1896" s="142">
        <v>41201</v>
      </c>
      <c r="D1896" s="141">
        <v>377</v>
      </c>
      <c r="E1896" s="141" t="str">
        <f t="shared" si="159"/>
        <v>001</v>
      </c>
      <c r="F1896" s="141" t="s">
        <v>4326</v>
      </c>
      <c r="G1896" s="141" t="str">
        <f t="shared" si="163"/>
        <v>1587</v>
      </c>
      <c r="H1896" s="141" t="s">
        <v>2572</v>
      </c>
      <c r="I1896" s="141" t="str">
        <f t="shared" si="160"/>
        <v>999</v>
      </c>
      <c r="J1896" s="141" t="s">
        <v>4327</v>
      </c>
      <c r="K1896" s="141">
        <v>869</v>
      </c>
      <c r="L1896" s="141">
        <v>1</v>
      </c>
      <c r="M1896" s="141">
        <v>0</v>
      </c>
      <c r="N1896" s="141">
        <v>3000</v>
      </c>
      <c r="O1896" s="141" t="s">
        <v>4405</v>
      </c>
      <c r="P1896" s="141" t="s">
        <v>4372</v>
      </c>
    </row>
    <row r="1897" spans="1:16" ht="25.5">
      <c r="A1897" s="141">
        <v>76807</v>
      </c>
      <c r="B1897" s="141" t="s">
        <v>4325</v>
      </c>
      <c r="C1897" s="142">
        <v>41201</v>
      </c>
      <c r="D1897" s="141">
        <v>377</v>
      </c>
      <c r="E1897" s="141" t="str">
        <f t="shared" si="159"/>
        <v>001</v>
      </c>
      <c r="F1897" s="141" t="s">
        <v>4326</v>
      </c>
      <c r="G1897" s="141" t="str">
        <f t="shared" si="163"/>
        <v>1587</v>
      </c>
      <c r="H1897" s="141" t="s">
        <v>2572</v>
      </c>
      <c r="I1897" s="141" t="str">
        <f t="shared" si="160"/>
        <v>999</v>
      </c>
      <c r="J1897" s="141" t="s">
        <v>4327</v>
      </c>
      <c r="K1897" s="141">
        <v>870</v>
      </c>
      <c r="L1897" s="141">
        <v>6</v>
      </c>
      <c r="M1897" s="141">
        <v>0</v>
      </c>
      <c r="N1897" s="141">
        <v>15000</v>
      </c>
      <c r="O1897" s="141" t="s">
        <v>4347</v>
      </c>
      <c r="P1897" s="141"/>
    </row>
    <row r="1898" spans="1:16" ht="25.5">
      <c r="A1898" s="141">
        <v>76807</v>
      </c>
      <c r="B1898" s="141" t="s">
        <v>4325</v>
      </c>
      <c r="C1898" s="142">
        <v>41201</v>
      </c>
      <c r="D1898" s="141">
        <v>377</v>
      </c>
      <c r="E1898" s="141" t="str">
        <f t="shared" si="159"/>
        <v>001</v>
      </c>
      <c r="F1898" s="141" t="s">
        <v>4326</v>
      </c>
      <c r="G1898" s="141" t="str">
        <f t="shared" si="163"/>
        <v>1587</v>
      </c>
      <c r="H1898" s="141" t="s">
        <v>2572</v>
      </c>
      <c r="I1898" s="141" t="str">
        <f t="shared" si="160"/>
        <v>999</v>
      </c>
      <c r="J1898" s="141" t="s">
        <v>4327</v>
      </c>
      <c r="K1898" s="141">
        <v>871</v>
      </c>
      <c r="L1898" s="141">
        <v>1</v>
      </c>
      <c r="M1898" s="141">
        <v>0</v>
      </c>
      <c r="N1898" s="141">
        <v>4000</v>
      </c>
      <c r="O1898" s="141" t="s">
        <v>4406</v>
      </c>
      <c r="P1898" s="141"/>
    </row>
    <row r="1899" spans="1:16" ht="25.5">
      <c r="A1899" s="141">
        <v>76807</v>
      </c>
      <c r="B1899" s="141" t="s">
        <v>4325</v>
      </c>
      <c r="C1899" s="142">
        <v>41201</v>
      </c>
      <c r="D1899" s="141">
        <v>319</v>
      </c>
      <c r="E1899" s="141" t="str">
        <f t="shared" si="159"/>
        <v>001</v>
      </c>
      <c r="F1899" s="141" t="s">
        <v>4326</v>
      </c>
      <c r="G1899" s="141" t="str">
        <f>"1596"</f>
        <v>1596</v>
      </c>
      <c r="H1899" s="141" t="s">
        <v>1244</v>
      </c>
      <c r="I1899" s="141" t="str">
        <f t="shared" si="160"/>
        <v>999</v>
      </c>
      <c r="J1899" s="141" t="s">
        <v>4327</v>
      </c>
      <c r="K1899" s="141">
        <v>292</v>
      </c>
      <c r="L1899" s="141">
        <v>1</v>
      </c>
      <c r="M1899" s="141">
        <v>0</v>
      </c>
      <c r="N1899" s="141">
        <v>3000</v>
      </c>
      <c r="O1899" s="141" t="s">
        <v>4446</v>
      </c>
      <c r="P1899" s="141"/>
    </row>
    <row r="1900" spans="1:16" ht="25.5">
      <c r="A1900" s="141">
        <v>76807</v>
      </c>
      <c r="B1900" s="141" t="s">
        <v>4325</v>
      </c>
      <c r="C1900" s="142">
        <v>41201</v>
      </c>
      <c r="D1900" s="141">
        <v>319</v>
      </c>
      <c r="E1900" s="141" t="str">
        <f t="shared" si="159"/>
        <v>001</v>
      </c>
      <c r="F1900" s="141" t="s">
        <v>4326</v>
      </c>
      <c r="G1900" s="141" t="str">
        <f>"1596"</f>
        <v>1596</v>
      </c>
      <c r="H1900" s="141" t="s">
        <v>1244</v>
      </c>
      <c r="I1900" s="141" t="str">
        <f t="shared" si="160"/>
        <v>999</v>
      </c>
      <c r="J1900" s="141" t="s">
        <v>4327</v>
      </c>
      <c r="K1900" s="141">
        <v>293</v>
      </c>
      <c r="L1900" s="141">
        <v>2</v>
      </c>
      <c r="M1900" s="141">
        <v>0</v>
      </c>
      <c r="N1900" s="141">
        <v>1000</v>
      </c>
      <c r="O1900" s="141" t="s">
        <v>4350</v>
      </c>
      <c r="P1900" s="141"/>
    </row>
    <row r="1901" spans="1:16" ht="25.5">
      <c r="A1901" s="141">
        <v>76807</v>
      </c>
      <c r="B1901" s="141" t="s">
        <v>4325</v>
      </c>
      <c r="C1901" s="142">
        <v>41201</v>
      </c>
      <c r="D1901" s="141">
        <v>319</v>
      </c>
      <c r="E1901" s="141" t="str">
        <f t="shared" si="159"/>
        <v>001</v>
      </c>
      <c r="F1901" s="141" t="s">
        <v>4326</v>
      </c>
      <c r="G1901" s="141" t="str">
        <f>"1596"</f>
        <v>1596</v>
      </c>
      <c r="H1901" s="141" t="s">
        <v>1244</v>
      </c>
      <c r="I1901" s="141" t="str">
        <f t="shared" si="160"/>
        <v>999</v>
      </c>
      <c r="J1901" s="141" t="s">
        <v>4327</v>
      </c>
      <c r="K1901" s="141">
        <v>294</v>
      </c>
      <c r="L1901" s="141">
        <v>4</v>
      </c>
      <c r="M1901" s="141">
        <v>0</v>
      </c>
      <c r="N1901" s="141">
        <v>1000</v>
      </c>
      <c r="O1901" s="141" t="s">
        <v>4840</v>
      </c>
      <c r="P1901" s="141"/>
    </row>
    <row r="1902" spans="1:16" ht="25.5">
      <c r="A1902" s="141">
        <v>76807</v>
      </c>
      <c r="B1902" s="141" t="s">
        <v>4325</v>
      </c>
      <c r="C1902" s="142">
        <v>41201</v>
      </c>
      <c r="D1902" s="141">
        <v>373</v>
      </c>
      <c r="E1902" s="141" t="str">
        <f t="shared" si="159"/>
        <v>001</v>
      </c>
      <c r="F1902" s="141" t="s">
        <v>4326</v>
      </c>
      <c r="G1902" s="141" t="str">
        <f>"1597"</f>
        <v>1597</v>
      </c>
      <c r="H1902" s="141" t="s">
        <v>720</v>
      </c>
      <c r="I1902" s="141" t="str">
        <f t="shared" si="160"/>
        <v>999</v>
      </c>
      <c r="J1902" s="141" t="s">
        <v>4327</v>
      </c>
      <c r="K1902" s="141">
        <v>822</v>
      </c>
      <c r="L1902" s="141">
        <v>1</v>
      </c>
      <c r="M1902" s="141">
        <v>0</v>
      </c>
      <c r="N1902" s="141">
        <v>42000</v>
      </c>
      <c r="O1902" s="141" t="s">
        <v>4463</v>
      </c>
      <c r="P1902" s="141" t="s">
        <v>4423</v>
      </c>
    </row>
    <row r="1903" spans="1:16" ht="25.5">
      <c r="A1903" s="141">
        <v>76807</v>
      </c>
      <c r="B1903" s="141" t="s">
        <v>4325</v>
      </c>
      <c r="C1903" s="142">
        <v>41201</v>
      </c>
      <c r="D1903" s="141">
        <v>373</v>
      </c>
      <c r="E1903" s="141" t="str">
        <f t="shared" si="159"/>
        <v>001</v>
      </c>
      <c r="F1903" s="141" t="s">
        <v>4326</v>
      </c>
      <c r="G1903" s="141" t="str">
        <f>"1597"</f>
        <v>1597</v>
      </c>
      <c r="H1903" s="141" t="s">
        <v>720</v>
      </c>
      <c r="I1903" s="141" t="str">
        <f t="shared" si="160"/>
        <v>999</v>
      </c>
      <c r="J1903" s="141" t="s">
        <v>4327</v>
      </c>
      <c r="K1903" s="141">
        <v>823</v>
      </c>
      <c r="L1903" s="141">
        <v>1</v>
      </c>
      <c r="M1903" s="141">
        <v>0</v>
      </c>
      <c r="N1903" s="141">
        <v>1000</v>
      </c>
      <c r="O1903" s="141" t="s">
        <v>4328</v>
      </c>
      <c r="P1903" s="141" t="s">
        <v>4527</v>
      </c>
    </row>
    <row r="1904" spans="1:16" ht="25.5">
      <c r="A1904" s="141">
        <v>76807</v>
      </c>
      <c r="B1904" s="141" t="s">
        <v>4325</v>
      </c>
      <c r="C1904" s="142">
        <v>41201</v>
      </c>
      <c r="D1904" s="141">
        <v>373</v>
      </c>
      <c r="E1904" s="141" t="str">
        <f t="shared" si="159"/>
        <v>001</v>
      </c>
      <c r="F1904" s="141" t="s">
        <v>4326</v>
      </c>
      <c r="G1904" s="141" t="str">
        <f>"1597"</f>
        <v>1597</v>
      </c>
      <c r="H1904" s="141" t="s">
        <v>720</v>
      </c>
      <c r="I1904" s="141" t="str">
        <f t="shared" si="160"/>
        <v>999</v>
      </c>
      <c r="J1904" s="141" t="s">
        <v>4327</v>
      </c>
      <c r="K1904" s="141">
        <v>824</v>
      </c>
      <c r="L1904" s="141">
        <v>8</v>
      </c>
      <c r="M1904" s="141">
        <v>0</v>
      </c>
      <c r="N1904" s="141">
        <v>27000</v>
      </c>
      <c r="O1904" s="141" t="s">
        <v>4339</v>
      </c>
      <c r="P1904" s="141" t="s">
        <v>4361</v>
      </c>
    </row>
    <row r="1905" spans="1:16" ht="25.5">
      <c r="A1905" s="141">
        <v>76807</v>
      </c>
      <c r="B1905" s="141" t="s">
        <v>4325</v>
      </c>
      <c r="C1905" s="142">
        <v>41201</v>
      </c>
      <c r="D1905" s="141">
        <v>737</v>
      </c>
      <c r="E1905" s="141" t="str">
        <f t="shared" si="159"/>
        <v>001</v>
      </c>
      <c r="F1905" s="141" t="s">
        <v>4326</v>
      </c>
      <c r="G1905" s="141" t="str">
        <f>"1606"</f>
        <v>1606</v>
      </c>
      <c r="H1905" s="141" t="s">
        <v>994</v>
      </c>
      <c r="I1905" s="141" t="str">
        <f t="shared" si="160"/>
        <v>999</v>
      </c>
      <c r="J1905" s="141" t="s">
        <v>4327</v>
      </c>
      <c r="K1905" s="141">
        <v>2359</v>
      </c>
      <c r="L1905" s="141">
        <v>1</v>
      </c>
      <c r="M1905" s="141">
        <v>0</v>
      </c>
      <c r="N1905" s="141">
        <v>1000</v>
      </c>
      <c r="O1905" s="141" t="s">
        <v>4610</v>
      </c>
      <c r="P1905" s="141" t="s">
        <v>4704</v>
      </c>
    </row>
    <row r="1906" spans="1:16" ht="25.5">
      <c r="A1906" s="141">
        <v>76807</v>
      </c>
      <c r="B1906" s="141" t="s">
        <v>4325</v>
      </c>
      <c r="C1906" s="142">
        <v>41201</v>
      </c>
      <c r="D1906" s="141">
        <v>737</v>
      </c>
      <c r="E1906" s="141" t="str">
        <f t="shared" si="159"/>
        <v>001</v>
      </c>
      <c r="F1906" s="141" t="s">
        <v>4326</v>
      </c>
      <c r="G1906" s="141" t="str">
        <f>"1606"</f>
        <v>1606</v>
      </c>
      <c r="H1906" s="141" t="s">
        <v>994</v>
      </c>
      <c r="I1906" s="141" t="str">
        <f t="shared" si="160"/>
        <v>999</v>
      </c>
      <c r="J1906" s="141" t="s">
        <v>4327</v>
      </c>
      <c r="K1906" s="141">
        <v>2360</v>
      </c>
      <c r="L1906" s="141">
        <v>1</v>
      </c>
      <c r="M1906" s="141">
        <v>0</v>
      </c>
      <c r="N1906" s="141">
        <v>4000</v>
      </c>
      <c r="O1906" s="141" t="s">
        <v>4330</v>
      </c>
      <c r="P1906" s="141" t="s">
        <v>4348</v>
      </c>
    </row>
    <row r="1907" spans="1:16" ht="25.5">
      <c r="A1907" s="141">
        <v>76807</v>
      </c>
      <c r="B1907" s="141" t="s">
        <v>4325</v>
      </c>
      <c r="C1907" s="142">
        <v>41201</v>
      </c>
      <c r="D1907" s="141">
        <v>737</v>
      </c>
      <c r="E1907" s="141" t="str">
        <f t="shared" si="159"/>
        <v>001</v>
      </c>
      <c r="F1907" s="141" t="s">
        <v>4326</v>
      </c>
      <c r="G1907" s="141" t="str">
        <f>"1606"</f>
        <v>1606</v>
      </c>
      <c r="H1907" s="141" t="s">
        <v>994</v>
      </c>
      <c r="I1907" s="141" t="str">
        <f t="shared" si="160"/>
        <v>999</v>
      </c>
      <c r="J1907" s="141" t="s">
        <v>4327</v>
      </c>
      <c r="K1907" s="141">
        <v>2361</v>
      </c>
      <c r="L1907" s="141">
        <v>1</v>
      </c>
      <c r="M1907" s="141">
        <v>0</v>
      </c>
      <c r="N1907" s="141">
        <v>9000</v>
      </c>
      <c r="O1907" s="141" t="s">
        <v>4397</v>
      </c>
      <c r="P1907" s="141" t="s">
        <v>4617</v>
      </c>
    </row>
    <row r="1908" spans="1:16" ht="25.5">
      <c r="A1908" s="141">
        <v>76807</v>
      </c>
      <c r="B1908" s="141" t="s">
        <v>4325</v>
      </c>
      <c r="C1908" s="142">
        <v>41201</v>
      </c>
      <c r="D1908" s="141">
        <v>1276</v>
      </c>
      <c r="E1908" s="141" t="str">
        <f t="shared" si="159"/>
        <v>001</v>
      </c>
      <c r="F1908" s="141" t="s">
        <v>4326</v>
      </c>
      <c r="G1908" s="141" t="str">
        <f>"1693"</f>
        <v>1693</v>
      </c>
      <c r="H1908" s="141" t="s">
        <v>3563</v>
      </c>
      <c r="I1908" s="141" t="str">
        <f t="shared" si="160"/>
        <v>999</v>
      </c>
      <c r="J1908" s="141" t="s">
        <v>4327</v>
      </c>
      <c r="K1908" s="141">
        <v>3388</v>
      </c>
      <c r="L1908" s="141">
        <v>1</v>
      </c>
      <c r="M1908" s="141">
        <v>0</v>
      </c>
      <c r="N1908" s="141">
        <v>178000</v>
      </c>
      <c r="O1908" s="141" t="s">
        <v>4327</v>
      </c>
      <c r="P1908" s="141"/>
    </row>
    <row r="1909" spans="1:16" ht="25.5">
      <c r="A1909" s="141">
        <v>76807</v>
      </c>
      <c r="B1909" s="141" t="s">
        <v>4325</v>
      </c>
      <c r="C1909" s="142">
        <v>41201</v>
      </c>
      <c r="D1909" s="141">
        <v>749</v>
      </c>
      <c r="E1909" s="141" t="str">
        <f t="shared" si="159"/>
        <v>001</v>
      </c>
      <c r="F1909" s="141" t="s">
        <v>4326</v>
      </c>
      <c r="G1909" s="141" t="str">
        <f>"1723"</f>
        <v>1723</v>
      </c>
      <c r="H1909" s="141" t="s">
        <v>2596</v>
      </c>
      <c r="I1909" s="141" t="str">
        <f t="shared" si="160"/>
        <v>999</v>
      </c>
      <c r="J1909" s="141" t="s">
        <v>4327</v>
      </c>
      <c r="K1909" s="141">
        <v>2499</v>
      </c>
      <c r="L1909" s="141">
        <v>1</v>
      </c>
      <c r="M1909" s="141">
        <v>0</v>
      </c>
      <c r="N1909" s="141">
        <v>2000</v>
      </c>
      <c r="O1909" s="141" t="s">
        <v>4424</v>
      </c>
      <c r="P1909" s="141" t="s">
        <v>4740</v>
      </c>
    </row>
    <row r="1910" spans="1:16" ht="25.5">
      <c r="A1910" s="141">
        <v>76807</v>
      </c>
      <c r="B1910" s="141" t="s">
        <v>4325</v>
      </c>
      <c r="C1910" s="142">
        <v>41201</v>
      </c>
      <c r="D1910" s="141">
        <v>749</v>
      </c>
      <c r="E1910" s="141" t="str">
        <f t="shared" si="159"/>
        <v>001</v>
      </c>
      <c r="F1910" s="141" t="s">
        <v>4326</v>
      </c>
      <c r="G1910" s="141" t="str">
        <f>"1723"</f>
        <v>1723</v>
      </c>
      <c r="H1910" s="141" t="s">
        <v>2596</v>
      </c>
      <c r="I1910" s="141" t="str">
        <f t="shared" si="160"/>
        <v>999</v>
      </c>
      <c r="J1910" s="141" t="s">
        <v>4327</v>
      </c>
      <c r="K1910" s="141">
        <v>2500</v>
      </c>
      <c r="L1910" s="141">
        <v>1</v>
      </c>
      <c r="M1910" s="141">
        <v>0</v>
      </c>
      <c r="N1910" s="141">
        <v>2000</v>
      </c>
      <c r="O1910" s="141" t="s">
        <v>4439</v>
      </c>
      <c r="P1910" s="141" t="s">
        <v>4440</v>
      </c>
    </row>
    <row r="1911" spans="1:16" ht="25.5">
      <c r="A1911" s="141">
        <v>76807</v>
      </c>
      <c r="B1911" s="141" t="s">
        <v>4325</v>
      </c>
      <c r="C1911" s="142">
        <v>41201</v>
      </c>
      <c r="D1911" s="141">
        <v>749</v>
      </c>
      <c r="E1911" s="141" t="str">
        <f t="shared" si="159"/>
        <v>001</v>
      </c>
      <c r="F1911" s="141" t="s">
        <v>4326</v>
      </c>
      <c r="G1911" s="141" t="str">
        <f>"1723"</f>
        <v>1723</v>
      </c>
      <c r="H1911" s="141" t="s">
        <v>2596</v>
      </c>
      <c r="I1911" s="141" t="str">
        <f t="shared" si="160"/>
        <v>999</v>
      </c>
      <c r="J1911" s="141" t="s">
        <v>4327</v>
      </c>
      <c r="K1911" s="141">
        <v>2501</v>
      </c>
      <c r="L1911" s="141">
        <v>1</v>
      </c>
      <c r="M1911" s="141">
        <v>0</v>
      </c>
      <c r="N1911" s="141">
        <v>19000</v>
      </c>
      <c r="O1911" s="141" t="s">
        <v>4399</v>
      </c>
      <c r="P1911" s="141" t="s">
        <v>4378</v>
      </c>
    </row>
    <row r="1912" spans="1:16" ht="25.5">
      <c r="A1912" s="141">
        <v>76807</v>
      </c>
      <c r="B1912" s="141" t="s">
        <v>4325</v>
      </c>
      <c r="C1912" s="142">
        <v>41201</v>
      </c>
      <c r="D1912" s="141">
        <v>463</v>
      </c>
      <c r="E1912" s="141" t="str">
        <f t="shared" si="159"/>
        <v>001</v>
      </c>
      <c r="F1912" s="141" t="s">
        <v>4326</v>
      </c>
      <c r="G1912" s="141" t="str">
        <f>"2001"</f>
        <v>2001</v>
      </c>
      <c r="H1912" s="141" t="s">
        <v>1661</v>
      </c>
      <c r="I1912" s="141" t="str">
        <f t="shared" si="160"/>
        <v>999</v>
      </c>
      <c r="J1912" s="141" t="s">
        <v>4327</v>
      </c>
      <c r="K1912" s="141">
        <v>972</v>
      </c>
      <c r="L1912" s="141">
        <v>1</v>
      </c>
      <c r="M1912" s="141">
        <v>0</v>
      </c>
      <c r="N1912" s="141">
        <v>2000</v>
      </c>
      <c r="O1912" s="141" t="s">
        <v>4777</v>
      </c>
      <c r="P1912" s="141" t="s">
        <v>4599</v>
      </c>
    </row>
    <row r="1913" spans="1:16" ht="25.5">
      <c r="A1913" s="141">
        <v>76807</v>
      </c>
      <c r="B1913" s="141" t="s">
        <v>4325</v>
      </c>
      <c r="C1913" s="142">
        <v>41201</v>
      </c>
      <c r="D1913" s="141">
        <v>463</v>
      </c>
      <c r="E1913" s="141" t="str">
        <f t="shared" si="159"/>
        <v>001</v>
      </c>
      <c r="F1913" s="141" t="s">
        <v>4326</v>
      </c>
      <c r="G1913" s="141" t="str">
        <f>"2001"</f>
        <v>2001</v>
      </c>
      <c r="H1913" s="141" t="s">
        <v>1661</v>
      </c>
      <c r="I1913" s="141" t="str">
        <f t="shared" si="160"/>
        <v>999</v>
      </c>
      <c r="J1913" s="141" t="s">
        <v>4327</v>
      </c>
      <c r="K1913" s="141">
        <v>973</v>
      </c>
      <c r="L1913" s="141">
        <v>1</v>
      </c>
      <c r="M1913" s="141">
        <v>0</v>
      </c>
      <c r="N1913" s="141">
        <v>8000</v>
      </c>
      <c r="O1913" s="141" t="s">
        <v>4434</v>
      </c>
      <c r="P1913" s="141" t="s">
        <v>4841</v>
      </c>
    </row>
    <row r="1914" spans="1:16" ht="25.5">
      <c r="A1914" s="141">
        <v>76807</v>
      </c>
      <c r="B1914" s="141" t="s">
        <v>4325</v>
      </c>
      <c r="C1914" s="142">
        <v>41201</v>
      </c>
      <c r="D1914" s="141">
        <v>463</v>
      </c>
      <c r="E1914" s="141" t="str">
        <f t="shared" si="159"/>
        <v>001</v>
      </c>
      <c r="F1914" s="141" t="s">
        <v>4326</v>
      </c>
      <c r="G1914" s="141" t="str">
        <f>"2001"</f>
        <v>2001</v>
      </c>
      <c r="H1914" s="141" t="s">
        <v>1661</v>
      </c>
      <c r="I1914" s="141" t="str">
        <f t="shared" si="160"/>
        <v>999</v>
      </c>
      <c r="J1914" s="141" t="s">
        <v>4327</v>
      </c>
      <c r="K1914" s="141">
        <v>974</v>
      </c>
      <c r="L1914" s="141">
        <v>1</v>
      </c>
      <c r="M1914" s="141">
        <v>0</v>
      </c>
      <c r="N1914" s="141">
        <v>10000</v>
      </c>
      <c r="O1914" s="141" t="s">
        <v>4373</v>
      </c>
      <c r="P1914" s="141" t="s">
        <v>4707</v>
      </c>
    </row>
    <row r="1915" spans="1:16" ht="25.5">
      <c r="A1915" s="141">
        <v>76807</v>
      </c>
      <c r="B1915" s="141" t="s">
        <v>4325</v>
      </c>
      <c r="C1915" s="142">
        <v>41201</v>
      </c>
      <c r="D1915" s="141">
        <v>463</v>
      </c>
      <c r="E1915" s="141" t="str">
        <f t="shared" si="159"/>
        <v>001</v>
      </c>
      <c r="F1915" s="141" t="s">
        <v>4326</v>
      </c>
      <c r="G1915" s="141" t="str">
        <f>"2001"</f>
        <v>2001</v>
      </c>
      <c r="H1915" s="141" t="s">
        <v>1661</v>
      </c>
      <c r="I1915" s="141" t="str">
        <f t="shared" si="160"/>
        <v>999</v>
      </c>
      <c r="J1915" s="141" t="s">
        <v>4327</v>
      </c>
      <c r="K1915" s="141">
        <v>975</v>
      </c>
      <c r="L1915" s="141">
        <v>1</v>
      </c>
      <c r="M1915" s="141">
        <v>0</v>
      </c>
      <c r="N1915" s="141">
        <v>62000</v>
      </c>
      <c r="O1915" s="141" t="s">
        <v>4463</v>
      </c>
      <c r="P1915" s="141" t="s">
        <v>4387</v>
      </c>
    </row>
    <row r="1916" spans="1:16" ht="25.5">
      <c r="A1916" s="141">
        <v>76807</v>
      </c>
      <c r="B1916" s="141" t="s">
        <v>4325</v>
      </c>
      <c r="C1916" s="142">
        <v>41201</v>
      </c>
      <c r="D1916" s="141">
        <v>1180</v>
      </c>
      <c r="E1916" s="141" t="str">
        <f t="shared" si="159"/>
        <v>001</v>
      </c>
      <c r="F1916" s="141" t="s">
        <v>4326</v>
      </c>
      <c r="G1916" s="141" t="str">
        <f t="shared" ref="G1916:G1924" si="164">"2004"</f>
        <v>2004</v>
      </c>
      <c r="H1916" s="141" t="s">
        <v>3544</v>
      </c>
      <c r="I1916" s="141" t="str">
        <f t="shared" si="160"/>
        <v>999</v>
      </c>
      <c r="J1916" s="141" t="s">
        <v>4327</v>
      </c>
      <c r="K1916" s="141">
        <v>3147</v>
      </c>
      <c r="L1916" s="141">
        <v>7</v>
      </c>
      <c r="M1916" s="141">
        <v>0</v>
      </c>
      <c r="N1916" s="141">
        <v>5000</v>
      </c>
      <c r="O1916" s="141" t="s">
        <v>4343</v>
      </c>
      <c r="P1916" s="141"/>
    </row>
    <row r="1917" spans="1:16" ht="25.5">
      <c r="A1917" s="141">
        <v>76807</v>
      </c>
      <c r="B1917" s="141" t="s">
        <v>4325</v>
      </c>
      <c r="C1917" s="142">
        <v>41201</v>
      </c>
      <c r="D1917" s="141">
        <v>1180</v>
      </c>
      <c r="E1917" s="141" t="str">
        <f t="shared" si="159"/>
        <v>001</v>
      </c>
      <c r="F1917" s="141" t="s">
        <v>4326</v>
      </c>
      <c r="G1917" s="141" t="str">
        <f t="shared" si="164"/>
        <v>2004</v>
      </c>
      <c r="H1917" s="141" t="s">
        <v>3544</v>
      </c>
      <c r="I1917" s="141" t="str">
        <f t="shared" si="160"/>
        <v>999</v>
      </c>
      <c r="J1917" s="141" t="s">
        <v>4327</v>
      </c>
      <c r="K1917" s="141">
        <v>3148</v>
      </c>
      <c r="L1917" s="141">
        <v>1</v>
      </c>
      <c r="M1917" s="141">
        <v>0</v>
      </c>
      <c r="N1917" s="141">
        <v>3000</v>
      </c>
      <c r="O1917" s="141" t="s">
        <v>4330</v>
      </c>
      <c r="P1917" s="141" t="s">
        <v>4331</v>
      </c>
    </row>
    <row r="1918" spans="1:16" ht="25.5">
      <c r="A1918" s="141">
        <v>76807</v>
      </c>
      <c r="B1918" s="141" t="s">
        <v>4325</v>
      </c>
      <c r="C1918" s="142">
        <v>41201</v>
      </c>
      <c r="D1918" s="141">
        <v>1180</v>
      </c>
      <c r="E1918" s="141" t="str">
        <f t="shared" si="159"/>
        <v>001</v>
      </c>
      <c r="F1918" s="141" t="s">
        <v>4326</v>
      </c>
      <c r="G1918" s="141" t="str">
        <f t="shared" si="164"/>
        <v>2004</v>
      </c>
      <c r="H1918" s="141" t="s">
        <v>3544</v>
      </c>
      <c r="I1918" s="141" t="str">
        <f t="shared" si="160"/>
        <v>999</v>
      </c>
      <c r="J1918" s="141" t="s">
        <v>4327</v>
      </c>
      <c r="K1918" s="141">
        <v>3149</v>
      </c>
      <c r="L1918" s="141">
        <v>1</v>
      </c>
      <c r="M1918" s="141">
        <v>0</v>
      </c>
      <c r="N1918" s="141">
        <v>41000</v>
      </c>
      <c r="O1918" s="141" t="s">
        <v>4375</v>
      </c>
      <c r="P1918" s="141" t="s">
        <v>4842</v>
      </c>
    </row>
    <row r="1919" spans="1:16" ht="25.5">
      <c r="A1919" s="141">
        <v>76807</v>
      </c>
      <c r="B1919" s="141" t="s">
        <v>4325</v>
      </c>
      <c r="C1919" s="142">
        <v>41201</v>
      </c>
      <c r="D1919" s="141">
        <v>1180</v>
      </c>
      <c r="E1919" s="141" t="str">
        <f t="shared" si="159"/>
        <v>001</v>
      </c>
      <c r="F1919" s="141" t="s">
        <v>4326</v>
      </c>
      <c r="G1919" s="141" t="str">
        <f t="shared" si="164"/>
        <v>2004</v>
      </c>
      <c r="H1919" s="141" t="s">
        <v>3544</v>
      </c>
      <c r="I1919" s="141" t="str">
        <f t="shared" si="160"/>
        <v>999</v>
      </c>
      <c r="J1919" s="141" t="s">
        <v>4327</v>
      </c>
      <c r="K1919" s="141">
        <v>3150</v>
      </c>
      <c r="L1919" s="141">
        <v>2</v>
      </c>
      <c r="M1919" s="141">
        <v>0</v>
      </c>
      <c r="N1919" s="141">
        <v>27000</v>
      </c>
      <c r="O1919" s="141" t="s">
        <v>4357</v>
      </c>
      <c r="P1919" s="141" t="s">
        <v>4642</v>
      </c>
    </row>
    <row r="1920" spans="1:16" ht="25.5">
      <c r="A1920" s="141">
        <v>76807</v>
      </c>
      <c r="B1920" s="141" t="s">
        <v>4325</v>
      </c>
      <c r="C1920" s="142">
        <v>41201</v>
      </c>
      <c r="D1920" s="141">
        <v>1180</v>
      </c>
      <c r="E1920" s="141" t="str">
        <f t="shared" si="159"/>
        <v>001</v>
      </c>
      <c r="F1920" s="141" t="s">
        <v>4326</v>
      </c>
      <c r="G1920" s="141" t="str">
        <f t="shared" si="164"/>
        <v>2004</v>
      </c>
      <c r="H1920" s="141" t="s">
        <v>3544</v>
      </c>
      <c r="I1920" s="141" t="str">
        <f t="shared" si="160"/>
        <v>999</v>
      </c>
      <c r="J1920" s="141" t="s">
        <v>4327</v>
      </c>
      <c r="K1920" s="141">
        <v>3151</v>
      </c>
      <c r="L1920" s="141">
        <v>1</v>
      </c>
      <c r="M1920" s="141">
        <v>0</v>
      </c>
      <c r="N1920" s="141">
        <v>2000</v>
      </c>
      <c r="O1920" s="141" t="s">
        <v>4373</v>
      </c>
      <c r="P1920" s="141" t="s">
        <v>4799</v>
      </c>
    </row>
    <row r="1921" spans="1:16" ht="25.5">
      <c r="A1921" s="141">
        <v>76807</v>
      </c>
      <c r="B1921" s="141" t="s">
        <v>4325</v>
      </c>
      <c r="C1921" s="142">
        <v>41201</v>
      </c>
      <c r="D1921" s="141">
        <v>1180</v>
      </c>
      <c r="E1921" s="141" t="str">
        <f t="shared" si="159"/>
        <v>001</v>
      </c>
      <c r="F1921" s="141" t="s">
        <v>4326</v>
      </c>
      <c r="G1921" s="141" t="str">
        <f t="shared" si="164"/>
        <v>2004</v>
      </c>
      <c r="H1921" s="141" t="s">
        <v>3544</v>
      </c>
      <c r="I1921" s="141" t="str">
        <f t="shared" si="160"/>
        <v>999</v>
      </c>
      <c r="J1921" s="141" t="s">
        <v>4327</v>
      </c>
      <c r="K1921" s="141">
        <v>3351</v>
      </c>
      <c r="L1921" s="141">
        <v>1</v>
      </c>
      <c r="M1921" s="141">
        <v>0</v>
      </c>
      <c r="N1921" s="141">
        <v>50000</v>
      </c>
      <c r="O1921" s="141" t="s">
        <v>4843</v>
      </c>
      <c r="P1921" s="141"/>
    </row>
    <row r="1922" spans="1:16" ht="25.5">
      <c r="A1922" s="141">
        <v>76807</v>
      </c>
      <c r="B1922" s="141" t="s">
        <v>4325</v>
      </c>
      <c r="C1922" s="142">
        <v>41201</v>
      </c>
      <c r="D1922" s="141">
        <v>1180</v>
      </c>
      <c r="E1922" s="141" t="str">
        <f t="shared" ref="E1922:E1985" si="165">"001"</f>
        <v>001</v>
      </c>
      <c r="F1922" s="141" t="s">
        <v>4326</v>
      </c>
      <c r="G1922" s="141" t="str">
        <f t="shared" si="164"/>
        <v>2004</v>
      </c>
      <c r="H1922" s="141" t="s">
        <v>3544</v>
      </c>
      <c r="I1922" s="141" t="str">
        <f t="shared" ref="I1922:I1985" si="166">"999"</f>
        <v>999</v>
      </c>
      <c r="J1922" s="141" t="s">
        <v>4327</v>
      </c>
      <c r="K1922" s="141">
        <v>3352</v>
      </c>
      <c r="L1922" s="141">
        <v>40</v>
      </c>
      <c r="M1922" s="141">
        <v>0</v>
      </c>
      <c r="N1922" s="141">
        <v>2000</v>
      </c>
      <c r="O1922" s="141" t="s">
        <v>4844</v>
      </c>
      <c r="P1922" s="141"/>
    </row>
    <row r="1923" spans="1:16" ht="25.5">
      <c r="A1923" s="141">
        <v>76807</v>
      </c>
      <c r="B1923" s="141" t="s">
        <v>4325</v>
      </c>
      <c r="C1923" s="142">
        <v>41201</v>
      </c>
      <c r="D1923" s="141">
        <v>1180</v>
      </c>
      <c r="E1923" s="141" t="str">
        <f t="shared" si="165"/>
        <v>001</v>
      </c>
      <c r="F1923" s="141" t="s">
        <v>4326</v>
      </c>
      <c r="G1923" s="141" t="str">
        <f t="shared" si="164"/>
        <v>2004</v>
      </c>
      <c r="H1923" s="141" t="s">
        <v>3544</v>
      </c>
      <c r="I1923" s="141" t="str">
        <f t="shared" si="166"/>
        <v>999</v>
      </c>
      <c r="J1923" s="141" t="s">
        <v>4327</v>
      </c>
      <c r="K1923" s="141">
        <v>3353</v>
      </c>
      <c r="L1923" s="141">
        <v>9</v>
      </c>
      <c r="M1923" s="141">
        <v>0</v>
      </c>
      <c r="N1923" s="141">
        <v>1000</v>
      </c>
      <c r="O1923" s="141" t="s">
        <v>4845</v>
      </c>
      <c r="P1923" s="141"/>
    </row>
    <row r="1924" spans="1:16" ht="25.5">
      <c r="A1924" s="141">
        <v>76807</v>
      </c>
      <c r="B1924" s="141" t="s">
        <v>4325</v>
      </c>
      <c r="C1924" s="142">
        <v>41201</v>
      </c>
      <c r="D1924" s="141">
        <v>1180</v>
      </c>
      <c r="E1924" s="141" t="str">
        <f t="shared" si="165"/>
        <v>001</v>
      </c>
      <c r="F1924" s="141" t="s">
        <v>4326</v>
      </c>
      <c r="G1924" s="141" t="str">
        <f t="shared" si="164"/>
        <v>2004</v>
      </c>
      <c r="H1924" s="141" t="s">
        <v>3544</v>
      </c>
      <c r="I1924" s="141" t="str">
        <f t="shared" si="166"/>
        <v>999</v>
      </c>
      <c r="J1924" s="141" t="s">
        <v>4327</v>
      </c>
      <c r="K1924" s="141">
        <v>3354</v>
      </c>
      <c r="L1924" s="141">
        <v>10</v>
      </c>
      <c r="M1924" s="141">
        <v>0</v>
      </c>
      <c r="N1924" s="141">
        <v>4000</v>
      </c>
      <c r="O1924" s="141" t="s">
        <v>4846</v>
      </c>
      <c r="P1924" s="141"/>
    </row>
    <row r="1925" spans="1:16" ht="25.5">
      <c r="A1925" s="141">
        <v>76807</v>
      </c>
      <c r="B1925" s="141" t="s">
        <v>4325</v>
      </c>
      <c r="C1925" s="142">
        <v>41201</v>
      </c>
      <c r="D1925" s="141">
        <v>723</v>
      </c>
      <c r="E1925" s="141" t="str">
        <f t="shared" si="165"/>
        <v>001</v>
      </c>
      <c r="F1925" s="141" t="s">
        <v>4326</v>
      </c>
      <c r="G1925" s="141" t="str">
        <f t="shared" ref="G1925:G1933" si="167">"2018"</f>
        <v>2018</v>
      </c>
      <c r="H1925" s="141" t="s">
        <v>976</v>
      </c>
      <c r="I1925" s="141" t="str">
        <f t="shared" si="166"/>
        <v>999</v>
      </c>
      <c r="J1925" s="141" t="s">
        <v>4327</v>
      </c>
      <c r="K1925" s="141">
        <v>2188</v>
      </c>
      <c r="L1925" s="141">
        <v>1</v>
      </c>
      <c r="M1925" s="141">
        <v>0</v>
      </c>
      <c r="N1925" s="141">
        <v>1000</v>
      </c>
      <c r="O1925" s="141" t="s">
        <v>4388</v>
      </c>
      <c r="P1925" s="141" t="s">
        <v>4527</v>
      </c>
    </row>
    <row r="1926" spans="1:16" ht="25.5">
      <c r="A1926" s="141">
        <v>76807</v>
      </c>
      <c r="B1926" s="141" t="s">
        <v>4325</v>
      </c>
      <c r="C1926" s="142">
        <v>41201</v>
      </c>
      <c r="D1926" s="141">
        <v>723</v>
      </c>
      <c r="E1926" s="141" t="str">
        <f t="shared" si="165"/>
        <v>001</v>
      </c>
      <c r="F1926" s="141" t="s">
        <v>4326</v>
      </c>
      <c r="G1926" s="141" t="str">
        <f t="shared" si="167"/>
        <v>2018</v>
      </c>
      <c r="H1926" s="141" t="s">
        <v>976</v>
      </c>
      <c r="I1926" s="141" t="str">
        <f t="shared" si="166"/>
        <v>999</v>
      </c>
      <c r="J1926" s="141" t="s">
        <v>4327</v>
      </c>
      <c r="K1926" s="141">
        <v>2189</v>
      </c>
      <c r="L1926" s="141">
        <v>11</v>
      </c>
      <c r="M1926" s="141">
        <v>0</v>
      </c>
      <c r="N1926" s="141">
        <v>47000</v>
      </c>
      <c r="O1926" s="141" t="s">
        <v>4339</v>
      </c>
      <c r="P1926" s="141" t="s">
        <v>4847</v>
      </c>
    </row>
    <row r="1927" spans="1:16" ht="25.5">
      <c r="A1927" s="141">
        <v>76807</v>
      </c>
      <c r="B1927" s="141" t="s">
        <v>4325</v>
      </c>
      <c r="C1927" s="142">
        <v>41201</v>
      </c>
      <c r="D1927" s="141">
        <v>723</v>
      </c>
      <c r="E1927" s="141" t="str">
        <f t="shared" si="165"/>
        <v>001</v>
      </c>
      <c r="F1927" s="141" t="s">
        <v>4326</v>
      </c>
      <c r="G1927" s="141" t="str">
        <f t="shared" si="167"/>
        <v>2018</v>
      </c>
      <c r="H1927" s="141" t="s">
        <v>976</v>
      </c>
      <c r="I1927" s="141" t="str">
        <f t="shared" si="166"/>
        <v>999</v>
      </c>
      <c r="J1927" s="141" t="s">
        <v>4327</v>
      </c>
      <c r="K1927" s="141">
        <v>2190</v>
      </c>
      <c r="L1927" s="141">
        <v>6</v>
      </c>
      <c r="M1927" s="141">
        <v>0</v>
      </c>
      <c r="N1927" s="141">
        <v>26000</v>
      </c>
      <c r="O1927" s="141" t="s">
        <v>4339</v>
      </c>
      <c r="P1927" s="141" t="s">
        <v>4847</v>
      </c>
    </row>
    <row r="1928" spans="1:16" ht="25.5">
      <c r="A1928" s="141">
        <v>76807</v>
      </c>
      <c r="B1928" s="141" t="s">
        <v>4325</v>
      </c>
      <c r="C1928" s="142">
        <v>41201</v>
      </c>
      <c r="D1928" s="141">
        <v>723</v>
      </c>
      <c r="E1928" s="141" t="str">
        <f t="shared" si="165"/>
        <v>001</v>
      </c>
      <c r="F1928" s="141" t="s">
        <v>4326</v>
      </c>
      <c r="G1928" s="141" t="str">
        <f t="shared" si="167"/>
        <v>2018</v>
      </c>
      <c r="H1928" s="141" t="s">
        <v>976</v>
      </c>
      <c r="I1928" s="141" t="str">
        <f t="shared" si="166"/>
        <v>999</v>
      </c>
      <c r="J1928" s="141" t="s">
        <v>4327</v>
      </c>
      <c r="K1928" s="141">
        <v>2191</v>
      </c>
      <c r="L1928" s="141">
        <v>1</v>
      </c>
      <c r="M1928" s="141">
        <v>0</v>
      </c>
      <c r="N1928" s="141">
        <v>4000</v>
      </c>
      <c r="O1928" s="141" t="s">
        <v>4848</v>
      </c>
      <c r="P1928" s="141" t="s">
        <v>4758</v>
      </c>
    </row>
    <row r="1929" spans="1:16" ht="25.5">
      <c r="A1929" s="141">
        <v>76807</v>
      </c>
      <c r="B1929" s="141" t="s">
        <v>4325</v>
      </c>
      <c r="C1929" s="142">
        <v>41201</v>
      </c>
      <c r="D1929" s="141">
        <v>723</v>
      </c>
      <c r="E1929" s="141" t="str">
        <f t="shared" si="165"/>
        <v>001</v>
      </c>
      <c r="F1929" s="141" t="s">
        <v>4326</v>
      </c>
      <c r="G1929" s="141" t="str">
        <f t="shared" si="167"/>
        <v>2018</v>
      </c>
      <c r="H1929" s="141" t="s">
        <v>976</v>
      </c>
      <c r="I1929" s="141" t="str">
        <f t="shared" si="166"/>
        <v>999</v>
      </c>
      <c r="J1929" s="141" t="s">
        <v>4327</v>
      </c>
      <c r="K1929" s="141">
        <v>2192</v>
      </c>
      <c r="L1929" s="141">
        <v>1</v>
      </c>
      <c r="M1929" s="141">
        <v>0</v>
      </c>
      <c r="N1929" s="141">
        <v>0</v>
      </c>
      <c r="O1929" s="141" t="s">
        <v>4330</v>
      </c>
      <c r="P1929" s="141" t="s">
        <v>4441</v>
      </c>
    </row>
    <row r="1930" spans="1:16" ht="25.5">
      <c r="A1930" s="141">
        <v>76807</v>
      </c>
      <c r="B1930" s="141" t="s">
        <v>4325</v>
      </c>
      <c r="C1930" s="142">
        <v>41201</v>
      </c>
      <c r="D1930" s="141">
        <v>723</v>
      </c>
      <c r="E1930" s="141" t="str">
        <f t="shared" si="165"/>
        <v>001</v>
      </c>
      <c r="F1930" s="141" t="s">
        <v>4326</v>
      </c>
      <c r="G1930" s="141" t="str">
        <f t="shared" si="167"/>
        <v>2018</v>
      </c>
      <c r="H1930" s="141" t="s">
        <v>976</v>
      </c>
      <c r="I1930" s="141" t="str">
        <f t="shared" si="166"/>
        <v>999</v>
      </c>
      <c r="J1930" s="141" t="s">
        <v>4327</v>
      </c>
      <c r="K1930" s="141">
        <v>2193</v>
      </c>
      <c r="L1930" s="141">
        <v>1</v>
      </c>
      <c r="M1930" s="141">
        <v>0</v>
      </c>
      <c r="N1930" s="141">
        <v>5000</v>
      </c>
      <c r="O1930" s="141" t="s">
        <v>4849</v>
      </c>
      <c r="P1930" s="141"/>
    </row>
    <row r="1931" spans="1:16" ht="25.5">
      <c r="A1931" s="141">
        <v>76807</v>
      </c>
      <c r="B1931" s="141" t="s">
        <v>4325</v>
      </c>
      <c r="C1931" s="142">
        <v>41201</v>
      </c>
      <c r="D1931" s="141">
        <v>723</v>
      </c>
      <c r="E1931" s="141" t="str">
        <f t="shared" si="165"/>
        <v>001</v>
      </c>
      <c r="F1931" s="141" t="s">
        <v>4326</v>
      </c>
      <c r="G1931" s="141" t="str">
        <f t="shared" si="167"/>
        <v>2018</v>
      </c>
      <c r="H1931" s="141" t="s">
        <v>976</v>
      </c>
      <c r="I1931" s="141" t="str">
        <f t="shared" si="166"/>
        <v>999</v>
      </c>
      <c r="J1931" s="141" t="s">
        <v>4327</v>
      </c>
      <c r="K1931" s="141">
        <v>2194</v>
      </c>
      <c r="L1931" s="141">
        <v>1</v>
      </c>
      <c r="M1931" s="141">
        <v>0</v>
      </c>
      <c r="N1931" s="141">
        <v>4000</v>
      </c>
      <c r="O1931" s="141" t="s">
        <v>4807</v>
      </c>
      <c r="P1931" s="141"/>
    </row>
    <row r="1932" spans="1:16" ht="25.5">
      <c r="A1932" s="141">
        <v>76807</v>
      </c>
      <c r="B1932" s="141" t="s">
        <v>4325</v>
      </c>
      <c r="C1932" s="142">
        <v>41201</v>
      </c>
      <c r="D1932" s="141">
        <v>723</v>
      </c>
      <c r="E1932" s="141" t="str">
        <f t="shared" si="165"/>
        <v>001</v>
      </c>
      <c r="F1932" s="141" t="s">
        <v>4326</v>
      </c>
      <c r="G1932" s="141" t="str">
        <f t="shared" si="167"/>
        <v>2018</v>
      </c>
      <c r="H1932" s="141" t="s">
        <v>976</v>
      </c>
      <c r="I1932" s="141" t="str">
        <f t="shared" si="166"/>
        <v>999</v>
      </c>
      <c r="J1932" s="141" t="s">
        <v>4327</v>
      </c>
      <c r="K1932" s="141">
        <v>2195</v>
      </c>
      <c r="L1932" s="141">
        <v>1</v>
      </c>
      <c r="M1932" s="141">
        <v>0</v>
      </c>
      <c r="N1932" s="141">
        <v>1000</v>
      </c>
      <c r="O1932" s="141" t="s">
        <v>4381</v>
      </c>
      <c r="P1932" s="141"/>
    </row>
    <row r="1933" spans="1:16" ht="25.5">
      <c r="A1933" s="141">
        <v>76807</v>
      </c>
      <c r="B1933" s="141" t="s">
        <v>4325</v>
      </c>
      <c r="C1933" s="142">
        <v>41201</v>
      </c>
      <c r="D1933" s="141">
        <v>723</v>
      </c>
      <c r="E1933" s="141" t="str">
        <f t="shared" si="165"/>
        <v>001</v>
      </c>
      <c r="F1933" s="141" t="s">
        <v>4326</v>
      </c>
      <c r="G1933" s="141" t="str">
        <f t="shared" si="167"/>
        <v>2018</v>
      </c>
      <c r="H1933" s="141" t="s">
        <v>976</v>
      </c>
      <c r="I1933" s="141" t="str">
        <f t="shared" si="166"/>
        <v>999</v>
      </c>
      <c r="J1933" s="141" t="s">
        <v>4327</v>
      </c>
      <c r="K1933" s="141">
        <v>2196</v>
      </c>
      <c r="L1933" s="141">
        <v>3</v>
      </c>
      <c r="M1933" s="141">
        <v>0</v>
      </c>
      <c r="N1933" s="141">
        <v>2000</v>
      </c>
      <c r="O1933" s="141" t="s">
        <v>4350</v>
      </c>
      <c r="P1933" s="141"/>
    </row>
    <row r="1934" spans="1:16" ht="25.5">
      <c r="A1934" s="141">
        <v>76807</v>
      </c>
      <c r="B1934" s="141" t="s">
        <v>4325</v>
      </c>
      <c r="C1934" s="142">
        <v>41201</v>
      </c>
      <c r="D1934" s="141">
        <v>755</v>
      </c>
      <c r="E1934" s="141" t="str">
        <f t="shared" si="165"/>
        <v>001</v>
      </c>
      <c r="F1934" s="141" t="s">
        <v>4326</v>
      </c>
      <c r="G1934" s="141" t="str">
        <f t="shared" ref="G1934:G1955" si="168">"2061"</f>
        <v>2061</v>
      </c>
      <c r="H1934" s="141" t="s">
        <v>1002</v>
      </c>
      <c r="I1934" s="141" t="str">
        <f t="shared" si="166"/>
        <v>999</v>
      </c>
      <c r="J1934" s="141" t="s">
        <v>4327</v>
      </c>
      <c r="K1934" s="141">
        <v>2586</v>
      </c>
      <c r="L1934" s="141">
        <v>1</v>
      </c>
      <c r="M1934" s="141">
        <v>0</v>
      </c>
      <c r="N1934" s="141">
        <v>13000</v>
      </c>
      <c r="O1934" s="141" t="s">
        <v>4351</v>
      </c>
      <c r="P1934" s="141" t="s">
        <v>4469</v>
      </c>
    </row>
    <row r="1935" spans="1:16" ht="25.5">
      <c r="A1935" s="141">
        <v>76807</v>
      </c>
      <c r="B1935" s="141" t="s">
        <v>4325</v>
      </c>
      <c r="C1935" s="142">
        <v>41201</v>
      </c>
      <c r="D1935" s="141">
        <v>755</v>
      </c>
      <c r="E1935" s="141" t="str">
        <f t="shared" si="165"/>
        <v>001</v>
      </c>
      <c r="F1935" s="141" t="s">
        <v>4326</v>
      </c>
      <c r="G1935" s="141" t="str">
        <f t="shared" si="168"/>
        <v>2061</v>
      </c>
      <c r="H1935" s="141" t="s">
        <v>1002</v>
      </c>
      <c r="I1935" s="141" t="str">
        <f t="shared" si="166"/>
        <v>999</v>
      </c>
      <c r="J1935" s="141" t="s">
        <v>4327</v>
      </c>
      <c r="K1935" s="141">
        <v>2587</v>
      </c>
      <c r="L1935" s="141">
        <v>1</v>
      </c>
      <c r="M1935" s="141">
        <v>0</v>
      </c>
      <c r="N1935" s="141">
        <v>35000</v>
      </c>
      <c r="O1935" s="141" t="s">
        <v>4337</v>
      </c>
      <c r="P1935" s="141" t="s">
        <v>4730</v>
      </c>
    </row>
    <row r="1936" spans="1:16" ht="25.5">
      <c r="A1936" s="141">
        <v>76807</v>
      </c>
      <c r="B1936" s="141" t="s">
        <v>4325</v>
      </c>
      <c r="C1936" s="142">
        <v>41201</v>
      </c>
      <c r="D1936" s="141">
        <v>755</v>
      </c>
      <c r="E1936" s="141" t="str">
        <f t="shared" si="165"/>
        <v>001</v>
      </c>
      <c r="F1936" s="141" t="s">
        <v>4326</v>
      </c>
      <c r="G1936" s="141" t="str">
        <f t="shared" si="168"/>
        <v>2061</v>
      </c>
      <c r="H1936" s="141" t="s">
        <v>1002</v>
      </c>
      <c r="I1936" s="141" t="str">
        <f t="shared" si="166"/>
        <v>999</v>
      </c>
      <c r="J1936" s="141" t="s">
        <v>4327</v>
      </c>
      <c r="K1936" s="141">
        <v>2588</v>
      </c>
      <c r="L1936" s="141">
        <v>1</v>
      </c>
      <c r="M1936" s="141">
        <v>0</v>
      </c>
      <c r="N1936" s="141">
        <v>12000</v>
      </c>
      <c r="O1936" s="141" t="s">
        <v>4420</v>
      </c>
      <c r="P1936" s="141" t="s">
        <v>4389</v>
      </c>
    </row>
    <row r="1937" spans="1:16" ht="25.5">
      <c r="A1937" s="141">
        <v>76807</v>
      </c>
      <c r="B1937" s="141" t="s">
        <v>4325</v>
      </c>
      <c r="C1937" s="142">
        <v>41201</v>
      </c>
      <c r="D1937" s="141">
        <v>755</v>
      </c>
      <c r="E1937" s="141" t="str">
        <f t="shared" si="165"/>
        <v>001</v>
      </c>
      <c r="F1937" s="141" t="s">
        <v>4326</v>
      </c>
      <c r="G1937" s="141" t="str">
        <f t="shared" si="168"/>
        <v>2061</v>
      </c>
      <c r="H1937" s="141" t="s">
        <v>1002</v>
      </c>
      <c r="I1937" s="141" t="str">
        <f t="shared" si="166"/>
        <v>999</v>
      </c>
      <c r="J1937" s="141" t="s">
        <v>4327</v>
      </c>
      <c r="K1937" s="141">
        <v>2589</v>
      </c>
      <c r="L1937" s="141">
        <v>16</v>
      </c>
      <c r="M1937" s="141">
        <v>0</v>
      </c>
      <c r="N1937" s="141">
        <v>36000</v>
      </c>
      <c r="O1937" s="141" t="s">
        <v>4334</v>
      </c>
      <c r="P1937" s="141" t="s">
        <v>4340</v>
      </c>
    </row>
    <row r="1938" spans="1:16" ht="25.5">
      <c r="A1938" s="141">
        <v>76807</v>
      </c>
      <c r="B1938" s="141" t="s">
        <v>4325</v>
      </c>
      <c r="C1938" s="142">
        <v>41201</v>
      </c>
      <c r="D1938" s="141">
        <v>755</v>
      </c>
      <c r="E1938" s="141" t="str">
        <f t="shared" si="165"/>
        <v>001</v>
      </c>
      <c r="F1938" s="141" t="s">
        <v>4326</v>
      </c>
      <c r="G1938" s="141" t="str">
        <f t="shared" si="168"/>
        <v>2061</v>
      </c>
      <c r="H1938" s="141" t="s">
        <v>1002</v>
      </c>
      <c r="I1938" s="141" t="str">
        <f t="shared" si="166"/>
        <v>999</v>
      </c>
      <c r="J1938" s="141" t="s">
        <v>4327</v>
      </c>
      <c r="K1938" s="141">
        <v>2590</v>
      </c>
      <c r="L1938" s="141">
        <v>2</v>
      </c>
      <c r="M1938" s="141">
        <v>0</v>
      </c>
      <c r="N1938" s="141">
        <v>7000</v>
      </c>
      <c r="O1938" s="141" t="s">
        <v>4357</v>
      </c>
      <c r="P1938" s="141" t="s">
        <v>4335</v>
      </c>
    </row>
    <row r="1939" spans="1:16" ht="25.5">
      <c r="A1939" s="141">
        <v>76807</v>
      </c>
      <c r="B1939" s="141" t="s">
        <v>4325</v>
      </c>
      <c r="C1939" s="142">
        <v>41201</v>
      </c>
      <c r="D1939" s="141">
        <v>755</v>
      </c>
      <c r="E1939" s="141" t="str">
        <f t="shared" si="165"/>
        <v>001</v>
      </c>
      <c r="F1939" s="141" t="s">
        <v>4326</v>
      </c>
      <c r="G1939" s="141" t="str">
        <f t="shared" si="168"/>
        <v>2061</v>
      </c>
      <c r="H1939" s="141" t="s">
        <v>1002</v>
      </c>
      <c r="I1939" s="141" t="str">
        <f t="shared" si="166"/>
        <v>999</v>
      </c>
      <c r="J1939" s="141" t="s">
        <v>4327</v>
      </c>
      <c r="K1939" s="141">
        <v>2591</v>
      </c>
      <c r="L1939" s="141">
        <v>4</v>
      </c>
      <c r="M1939" s="141">
        <v>0</v>
      </c>
      <c r="N1939" s="141">
        <v>47000</v>
      </c>
      <c r="O1939" s="141" t="s">
        <v>4357</v>
      </c>
      <c r="P1939" s="141" t="s">
        <v>4588</v>
      </c>
    </row>
    <row r="1940" spans="1:16" ht="25.5">
      <c r="A1940" s="141">
        <v>76807</v>
      </c>
      <c r="B1940" s="141" t="s">
        <v>4325</v>
      </c>
      <c r="C1940" s="142">
        <v>41201</v>
      </c>
      <c r="D1940" s="141">
        <v>755</v>
      </c>
      <c r="E1940" s="141" t="str">
        <f t="shared" si="165"/>
        <v>001</v>
      </c>
      <c r="F1940" s="141" t="s">
        <v>4326</v>
      </c>
      <c r="G1940" s="141" t="str">
        <f t="shared" si="168"/>
        <v>2061</v>
      </c>
      <c r="H1940" s="141" t="s">
        <v>1002</v>
      </c>
      <c r="I1940" s="141" t="str">
        <f t="shared" si="166"/>
        <v>999</v>
      </c>
      <c r="J1940" s="141" t="s">
        <v>4327</v>
      </c>
      <c r="K1940" s="141">
        <v>2592</v>
      </c>
      <c r="L1940" s="141">
        <v>27</v>
      </c>
      <c r="M1940" s="141">
        <v>0</v>
      </c>
      <c r="N1940" s="141">
        <v>74000</v>
      </c>
      <c r="O1940" s="141" t="s">
        <v>4357</v>
      </c>
      <c r="P1940" s="141" t="s">
        <v>4340</v>
      </c>
    </row>
    <row r="1941" spans="1:16" ht="25.5">
      <c r="A1941" s="141">
        <v>76807</v>
      </c>
      <c r="B1941" s="141" t="s">
        <v>4325</v>
      </c>
      <c r="C1941" s="142">
        <v>41201</v>
      </c>
      <c r="D1941" s="141">
        <v>755</v>
      </c>
      <c r="E1941" s="141" t="str">
        <f t="shared" si="165"/>
        <v>001</v>
      </c>
      <c r="F1941" s="141" t="s">
        <v>4326</v>
      </c>
      <c r="G1941" s="141" t="str">
        <f t="shared" si="168"/>
        <v>2061</v>
      </c>
      <c r="H1941" s="141" t="s">
        <v>1002</v>
      </c>
      <c r="I1941" s="141" t="str">
        <f t="shared" si="166"/>
        <v>999</v>
      </c>
      <c r="J1941" s="141" t="s">
        <v>4327</v>
      </c>
      <c r="K1941" s="141">
        <v>2593</v>
      </c>
      <c r="L1941" s="141">
        <v>4</v>
      </c>
      <c r="M1941" s="141">
        <v>0</v>
      </c>
      <c r="N1941" s="141">
        <v>52000</v>
      </c>
      <c r="O1941" s="141" t="s">
        <v>4357</v>
      </c>
      <c r="P1941" s="141" t="s">
        <v>4412</v>
      </c>
    </row>
    <row r="1942" spans="1:16" ht="25.5">
      <c r="A1942" s="141">
        <v>76807</v>
      </c>
      <c r="B1942" s="141" t="s">
        <v>4325</v>
      </c>
      <c r="C1942" s="142">
        <v>41201</v>
      </c>
      <c r="D1942" s="141">
        <v>755</v>
      </c>
      <c r="E1942" s="141" t="str">
        <f t="shared" si="165"/>
        <v>001</v>
      </c>
      <c r="F1942" s="141" t="s">
        <v>4326</v>
      </c>
      <c r="G1942" s="141" t="str">
        <f t="shared" si="168"/>
        <v>2061</v>
      </c>
      <c r="H1942" s="141" t="s">
        <v>1002</v>
      </c>
      <c r="I1942" s="141" t="str">
        <f t="shared" si="166"/>
        <v>999</v>
      </c>
      <c r="J1942" s="141" t="s">
        <v>4327</v>
      </c>
      <c r="K1942" s="141">
        <v>2594</v>
      </c>
      <c r="L1942" s="141">
        <v>14</v>
      </c>
      <c r="M1942" s="141">
        <v>0</v>
      </c>
      <c r="N1942" s="141">
        <v>278000</v>
      </c>
      <c r="O1942" s="141" t="s">
        <v>4357</v>
      </c>
      <c r="P1942" s="141" t="s">
        <v>4850</v>
      </c>
    </row>
    <row r="1943" spans="1:16" ht="25.5">
      <c r="A1943" s="141">
        <v>76807</v>
      </c>
      <c r="B1943" s="141" t="s">
        <v>4325</v>
      </c>
      <c r="C1943" s="142">
        <v>41201</v>
      </c>
      <c r="D1943" s="141">
        <v>755</v>
      </c>
      <c r="E1943" s="141" t="str">
        <f t="shared" si="165"/>
        <v>001</v>
      </c>
      <c r="F1943" s="141" t="s">
        <v>4326</v>
      </c>
      <c r="G1943" s="141" t="str">
        <f t="shared" si="168"/>
        <v>2061</v>
      </c>
      <c r="H1943" s="141" t="s">
        <v>1002</v>
      </c>
      <c r="I1943" s="141" t="str">
        <f t="shared" si="166"/>
        <v>999</v>
      </c>
      <c r="J1943" s="141" t="s">
        <v>4327</v>
      </c>
      <c r="K1943" s="141">
        <v>2595</v>
      </c>
      <c r="L1943" s="141">
        <v>4</v>
      </c>
      <c r="M1943" s="141">
        <v>0</v>
      </c>
      <c r="N1943" s="141">
        <v>82000</v>
      </c>
      <c r="O1943" s="141" t="s">
        <v>4357</v>
      </c>
      <c r="P1943" s="141" t="s">
        <v>4851</v>
      </c>
    </row>
    <row r="1944" spans="1:16" ht="25.5">
      <c r="A1944" s="141">
        <v>76807</v>
      </c>
      <c r="B1944" s="141" t="s">
        <v>4325</v>
      </c>
      <c r="C1944" s="142">
        <v>41201</v>
      </c>
      <c r="D1944" s="141">
        <v>755</v>
      </c>
      <c r="E1944" s="141" t="str">
        <f t="shared" si="165"/>
        <v>001</v>
      </c>
      <c r="F1944" s="141" t="s">
        <v>4326</v>
      </c>
      <c r="G1944" s="141" t="str">
        <f t="shared" si="168"/>
        <v>2061</v>
      </c>
      <c r="H1944" s="141" t="s">
        <v>1002</v>
      </c>
      <c r="I1944" s="141" t="str">
        <f t="shared" si="166"/>
        <v>999</v>
      </c>
      <c r="J1944" s="141" t="s">
        <v>4327</v>
      </c>
      <c r="K1944" s="141">
        <v>2596</v>
      </c>
      <c r="L1944" s="141">
        <v>5</v>
      </c>
      <c r="M1944" s="141">
        <v>0</v>
      </c>
      <c r="N1944" s="141">
        <v>79000</v>
      </c>
      <c r="O1944" s="141" t="s">
        <v>4357</v>
      </c>
      <c r="P1944" s="141" t="s">
        <v>4852</v>
      </c>
    </row>
    <row r="1945" spans="1:16" ht="25.5">
      <c r="A1945" s="141">
        <v>76807</v>
      </c>
      <c r="B1945" s="141" t="s">
        <v>4325</v>
      </c>
      <c r="C1945" s="142">
        <v>41201</v>
      </c>
      <c r="D1945" s="141">
        <v>755</v>
      </c>
      <c r="E1945" s="141" t="str">
        <f t="shared" si="165"/>
        <v>001</v>
      </c>
      <c r="F1945" s="141" t="s">
        <v>4326</v>
      </c>
      <c r="G1945" s="141" t="str">
        <f t="shared" si="168"/>
        <v>2061</v>
      </c>
      <c r="H1945" s="141" t="s">
        <v>1002</v>
      </c>
      <c r="I1945" s="141" t="str">
        <f t="shared" si="166"/>
        <v>999</v>
      </c>
      <c r="J1945" s="141" t="s">
        <v>4327</v>
      </c>
      <c r="K1945" s="141">
        <v>2597</v>
      </c>
      <c r="L1945" s="141">
        <v>4</v>
      </c>
      <c r="M1945" s="141">
        <v>0</v>
      </c>
      <c r="N1945" s="141">
        <v>44000</v>
      </c>
      <c r="O1945" s="141" t="s">
        <v>4357</v>
      </c>
      <c r="P1945" s="141" t="s">
        <v>4358</v>
      </c>
    </row>
    <row r="1946" spans="1:16" ht="25.5">
      <c r="A1946" s="141">
        <v>76807</v>
      </c>
      <c r="B1946" s="141" t="s">
        <v>4325</v>
      </c>
      <c r="C1946" s="142">
        <v>41201</v>
      </c>
      <c r="D1946" s="141">
        <v>755</v>
      </c>
      <c r="E1946" s="141" t="str">
        <f t="shared" si="165"/>
        <v>001</v>
      </c>
      <c r="F1946" s="141" t="s">
        <v>4326</v>
      </c>
      <c r="G1946" s="141" t="str">
        <f t="shared" si="168"/>
        <v>2061</v>
      </c>
      <c r="H1946" s="141" t="s">
        <v>1002</v>
      </c>
      <c r="I1946" s="141" t="str">
        <f t="shared" si="166"/>
        <v>999</v>
      </c>
      <c r="J1946" s="141" t="s">
        <v>4327</v>
      </c>
      <c r="K1946" s="141">
        <v>2598</v>
      </c>
      <c r="L1946" s="141">
        <v>2</v>
      </c>
      <c r="M1946" s="141">
        <v>0</v>
      </c>
      <c r="N1946" s="141">
        <v>5000</v>
      </c>
      <c r="O1946" s="141" t="s">
        <v>4357</v>
      </c>
      <c r="P1946" s="141" t="s">
        <v>4340</v>
      </c>
    </row>
    <row r="1947" spans="1:16" ht="25.5">
      <c r="A1947" s="141">
        <v>76807</v>
      </c>
      <c r="B1947" s="141" t="s">
        <v>4325</v>
      </c>
      <c r="C1947" s="142">
        <v>41201</v>
      </c>
      <c r="D1947" s="141">
        <v>755</v>
      </c>
      <c r="E1947" s="141" t="str">
        <f t="shared" si="165"/>
        <v>001</v>
      </c>
      <c r="F1947" s="141" t="s">
        <v>4326</v>
      </c>
      <c r="G1947" s="141" t="str">
        <f t="shared" si="168"/>
        <v>2061</v>
      </c>
      <c r="H1947" s="141" t="s">
        <v>1002</v>
      </c>
      <c r="I1947" s="141" t="str">
        <f t="shared" si="166"/>
        <v>999</v>
      </c>
      <c r="J1947" s="141" t="s">
        <v>4327</v>
      </c>
      <c r="K1947" s="141">
        <v>2599</v>
      </c>
      <c r="L1947" s="141">
        <v>2</v>
      </c>
      <c r="M1947" s="141">
        <v>0</v>
      </c>
      <c r="N1947" s="141">
        <v>7000</v>
      </c>
      <c r="O1947" s="141" t="s">
        <v>4357</v>
      </c>
      <c r="P1947" s="141" t="s">
        <v>4335</v>
      </c>
    </row>
    <row r="1948" spans="1:16" ht="25.5">
      <c r="A1948" s="141">
        <v>76807</v>
      </c>
      <c r="B1948" s="141" t="s">
        <v>4325</v>
      </c>
      <c r="C1948" s="142">
        <v>41201</v>
      </c>
      <c r="D1948" s="141">
        <v>755</v>
      </c>
      <c r="E1948" s="141" t="str">
        <f t="shared" si="165"/>
        <v>001</v>
      </c>
      <c r="F1948" s="141" t="s">
        <v>4326</v>
      </c>
      <c r="G1948" s="141" t="str">
        <f t="shared" si="168"/>
        <v>2061</v>
      </c>
      <c r="H1948" s="141" t="s">
        <v>1002</v>
      </c>
      <c r="I1948" s="141" t="str">
        <f t="shared" si="166"/>
        <v>999</v>
      </c>
      <c r="J1948" s="141" t="s">
        <v>4327</v>
      </c>
      <c r="K1948" s="141">
        <v>2600</v>
      </c>
      <c r="L1948" s="141">
        <v>1</v>
      </c>
      <c r="M1948" s="141">
        <v>0</v>
      </c>
      <c r="N1948" s="141">
        <v>4000</v>
      </c>
      <c r="O1948" s="141" t="s">
        <v>4853</v>
      </c>
      <c r="P1948" s="141"/>
    </row>
    <row r="1949" spans="1:16" ht="25.5">
      <c r="A1949" s="141">
        <v>76807</v>
      </c>
      <c r="B1949" s="141" t="s">
        <v>4325</v>
      </c>
      <c r="C1949" s="142">
        <v>41201</v>
      </c>
      <c r="D1949" s="141">
        <v>755</v>
      </c>
      <c r="E1949" s="141" t="str">
        <f t="shared" si="165"/>
        <v>001</v>
      </c>
      <c r="F1949" s="141" t="s">
        <v>4326</v>
      </c>
      <c r="G1949" s="141" t="str">
        <f t="shared" si="168"/>
        <v>2061</v>
      </c>
      <c r="H1949" s="141" t="s">
        <v>1002</v>
      </c>
      <c r="I1949" s="141" t="str">
        <f t="shared" si="166"/>
        <v>999</v>
      </c>
      <c r="J1949" s="141" t="s">
        <v>4327</v>
      </c>
      <c r="K1949" s="141">
        <v>2601</v>
      </c>
      <c r="L1949" s="141">
        <v>1</v>
      </c>
      <c r="M1949" s="141">
        <v>0</v>
      </c>
      <c r="N1949" s="141">
        <v>45000</v>
      </c>
      <c r="O1949" s="141" t="s">
        <v>4854</v>
      </c>
      <c r="P1949" s="141"/>
    </row>
    <row r="1950" spans="1:16" ht="25.5">
      <c r="A1950" s="141">
        <v>76807</v>
      </c>
      <c r="B1950" s="141" t="s">
        <v>4325</v>
      </c>
      <c r="C1950" s="142">
        <v>41201</v>
      </c>
      <c r="D1950" s="141">
        <v>755</v>
      </c>
      <c r="E1950" s="141" t="str">
        <f t="shared" si="165"/>
        <v>001</v>
      </c>
      <c r="F1950" s="141" t="s">
        <v>4326</v>
      </c>
      <c r="G1950" s="141" t="str">
        <f t="shared" si="168"/>
        <v>2061</v>
      </c>
      <c r="H1950" s="141" t="s">
        <v>1002</v>
      </c>
      <c r="I1950" s="141" t="str">
        <f t="shared" si="166"/>
        <v>999</v>
      </c>
      <c r="J1950" s="141" t="s">
        <v>4327</v>
      </c>
      <c r="K1950" s="141">
        <v>2602</v>
      </c>
      <c r="L1950" s="141">
        <v>8</v>
      </c>
      <c r="M1950" s="141">
        <v>0</v>
      </c>
      <c r="N1950" s="141">
        <v>14000</v>
      </c>
      <c r="O1950" s="141" t="s">
        <v>4592</v>
      </c>
      <c r="P1950" s="141"/>
    </row>
    <row r="1951" spans="1:16" ht="25.5">
      <c r="A1951" s="141">
        <v>76807</v>
      </c>
      <c r="B1951" s="141" t="s">
        <v>4325</v>
      </c>
      <c r="C1951" s="142">
        <v>41201</v>
      </c>
      <c r="D1951" s="141">
        <v>755</v>
      </c>
      <c r="E1951" s="141" t="str">
        <f t="shared" si="165"/>
        <v>001</v>
      </c>
      <c r="F1951" s="141" t="s">
        <v>4326</v>
      </c>
      <c r="G1951" s="141" t="str">
        <f t="shared" si="168"/>
        <v>2061</v>
      </c>
      <c r="H1951" s="141" t="s">
        <v>1002</v>
      </c>
      <c r="I1951" s="141" t="str">
        <f t="shared" si="166"/>
        <v>999</v>
      </c>
      <c r="J1951" s="141" t="s">
        <v>4327</v>
      </c>
      <c r="K1951" s="141">
        <v>2603</v>
      </c>
      <c r="L1951" s="141">
        <v>1</v>
      </c>
      <c r="M1951" s="141">
        <v>0</v>
      </c>
      <c r="N1951" s="141">
        <v>6000</v>
      </c>
      <c r="O1951" s="141" t="s">
        <v>4353</v>
      </c>
      <c r="P1951" s="141" t="s">
        <v>4530</v>
      </c>
    </row>
    <row r="1952" spans="1:16" ht="25.5">
      <c r="A1952" s="141">
        <v>76807</v>
      </c>
      <c r="B1952" s="141" t="s">
        <v>4325</v>
      </c>
      <c r="C1952" s="142">
        <v>41201</v>
      </c>
      <c r="D1952" s="141">
        <v>755</v>
      </c>
      <c r="E1952" s="141" t="str">
        <f t="shared" si="165"/>
        <v>001</v>
      </c>
      <c r="F1952" s="141" t="s">
        <v>4326</v>
      </c>
      <c r="G1952" s="141" t="str">
        <f t="shared" si="168"/>
        <v>2061</v>
      </c>
      <c r="H1952" s="141" t="s">
        <v>1002</v>
      </c>
      <c r="I1952" s="141" t="str">
        <f t="shared" si="166"/>
        <v>999</v>
      </c>
      <c r="J1952" s="141" t="s">
        <v>4327</v>
      </c>
      <c r="K1952" s="141">
        <v>2604</v>
      </c>
      <c r="L1952" s="141">
        <v>125</v>
      </c>
      <c r="M1952" s="141">
        <v>0</v>
      </c>
      <c r="N1952" s="141">
        <v>166000</v>
      </c>
      <c r="O1952" s="141" t="s">
        <v>4738</v>
      </c>
      <c r="P1952" s="141"/>
    </row>
    <row r="1953" spans="1:16" ht="25.5">
      <c r="A1953" s="141">
        <v>76807</v>
      </c>
      <c r="B1953" s="141" t="s">
        <v>4325</v>
      </c>
      <c r="C1953" s="142">
        <v>41201</v>
      </c>
      <c r="D1953" s="141">
        <v>755</v>
      </c>
      <c r="E1953" s="141" t="str">
        <f t="shared" si="165"/>
        <v>001</v>
      </c>
      <c r="F1953" s="141" t="s">
        <v>4326</v>
      </c>
      <c r="G1953" s="141" t="str">
        <f t="shared" si="168"/>
        <v>2061</v>
      </c>
      <c r="H1953" s="141" t="s">
        <v>1002</v>
      </c>
      <c r="I1953" s="141" t="str">
        <f t="shared" si="166"/>
        <v>999</v>
      </c>
      <c r="J1953" s="141" t="s">
        <v>4327</v>
      </c>
      <c r="K1953" s="141">
        <v>2605</v>
      </c>
      <c r="L1953" s="141">
        <v>11</v>
      </c>
      <c r="M1953" s="141">
        <v>0</v>
      </c>
      <c r="N1953" s="141">
        <v>6000</v>
      </c>
      <c r="O1953" s="141" t="s">
        <v>4350</v>
      </c>
      <c r="P1953" s="141"/>
    </row>
    <row r="1954" spans="1:16" ht="25.5">
      <c r="A1954" s="141">
        <v>76807</v>
      </c>
      <c r="B1954" s="141" t="s">
        <v>4325</v>
      </c>
      <c r="C1954" s="142">
        <v>41201</v>
      </c>
      <c r="D1954" s="141">
        <v>755</v>
      </c>
      <c r="E1954" s="141" t="str">
        <f t="shared" si="165"/>
        <v>001</v>
      </c>
      <c r="F1954" s="141" t="s">
        <v>4326</v>
      </c>
      <c r="G1954" s="141" t="str">
        <f t="shared" si="168"/>
        <v>2061</v>
      </c>
      <c r="H1954" s="141" t="s">
        <v>1002</v>
      </c>
      <c r="I1954" s="141" t="str">
        <f t="shared" si="166"/>
        <v>999</v>
      </c>
      <c r="J1954" s="141" t="s">
        <v>4327</v>
      </c>
      <c r="K1954" s="141">
        <v>2606</v>
      </c>
      <c r="L1954" s="141">
        <v>1</v>
      </c>
      <c r="M1954" s="141">
        <v>0</v>
      </c>
      <c r="N1954" s="141">
        <v>40000</v>
      </c>
      <c r="O1954" s="141" t="s">
        <v>4368</v>
      </c>
      <c r="P1954" s="141"/>
    </row>
    <row r="1955" spans="1:16" ht="25.5">
      <c r="A1955" s="141">
        <v>76807</v>
      </c>
      <c r="B1955" s="141" t="s">
        <v>4325</v>
      </c>
      <c r="C1955" s="142">
        <v>41201</v>
      </c>
      <c r="D1955" s="141">
        <v>755</v>
      </c>
      <c r="E1955" s="141" t="str">
        <f t="shared" si="165"/>
        <v>001</v>
      </c>
      <c r="F1955" s="141" t="s">
        <v>4326</v>
      </c>
      <c r="G1955" s="141" t="str">
        <f t="shared" si="168"/>
        <v>2061</v>
      </c>
      <c r="H1955" s="141" t="s">
        <v>1002</v>
      </c>
      <c r="I1955" s="141" t="str">
        <f t="shared" si="166"/>
        <v>999</v>
      </c>
      <c r="J1955" s="141" t="s">
        <v>4327</v>
      </c>
      <c r="K1955" s="141">
        <v>2607</v>
      </c>
      <c r="L1955" s="141">
        <v>1</v>
      </c>
      <c r="M1955" s="141">
        <v>0</v>
      </c>
      <c r="N1955" s="141">
        <v>0</v>
      </c>
      <c r="O1955" s="141" t="s">
        <v>4369</v>
      </c>
      <c r="P1955" s="141" t="s">
        <v>4758</v>
      </c>
    </row>
    <row r="1956" spans="1:16" ht="25.5">
      <c r="A1956" s="141">
        <v>76807</v>
      </c>
      <c r="B1956" s="141" t="s">
        <v>4325</v>
      </c>
      <c r="C1956" s="142">
        <v>41201</v>
      </c>
      <c r="D1956" s="141">
        <v>376</v>
      </c>
      <c r="E1956" s="141" t="str">
        <f t="shared" si="165"/>
        <v>001</v>
      </c>
      <c r="F1956" s="141" t="s">
        <v>4326</v>
      </c>
      <c r="G1956" s="141" t="str">
        <f t="shared" ref="G1956:G1973" si="169">"2062"</f>
        <v>2062</v>
      </c>
      <c r="H1956" s="141" t="s">
        <v>736</v>
      </c>
      <c r="I1956" s="141" t="str">
        <f t="shared" si="166"/>
        <v>999</v>
      </c>
      <c r="J1956" s="141" t="s">
        <v>4327</v>
      </c>
      <c r="K1956" s="141">
        <v>832</v>
      </c>
      <c r="L1956" s="141">
        <v>1</v>
      </c>
      <c r="M1956" s="141">
        <v>0</v>
      </c>
      <c r="N1956" s="141">
        <v>11000</v>
      </c>
      <c r="O1956" s="141" t="s">
        <v>4351</v>
      </c>
      <c r="P1956" s="141" t="s">
        <v>4855</v>
      </c>
    </row>
    <row r="1957" spans="1:16" ht="25.5">
      <c r="A1957" s="141">
        <v>76807</v>
      </c>
      <c r="B1957" s="141" t="s">
        <v>4325</v>
      </c>
      <c r="C1957" s="142">
        <v>41201</v>
      </c>
      <c r="D1957" s="141">
        <v>376</v>
      </c>
      <c r="E1957" s="141" t="str">
        <f t="shared" si="165"/>
        <v>001</v>
      </c>
      <c r="F1957" s="141" t="s">
        <v>4326</v>
      </c>
      <c r="G1957" s="141" t="str">
        <f t="shared" si="169"/>
        <v>2062</v>
      </c>
      <c r="H1957" s="141" t="s">
        <v>736</v>
      </c>
      <c r="I1957" s="141" t="str">
        <f t="shared" si="166"/>
        <v>999</v>
      </c>
      <c r="J1957" s="141" t="s">
        <v>4327</v>
      </c>
      <c r="K1957" s="141">
        <v>833</v>
      </c>
      <c r="L1957" s="141">
        <v>1</v>
      </c>
      <c r="M1957" s="141">
        <v>0</v>
      </c>
      <c r="N1957" s="141">
        <v>103000</v>
      </c>
      <c r="O1957" s="141" t="s">
        <v>4463</v>
      </c>
      <c r="P1957" s="141" t="s">
        <v>4856</v>
      </c>
    </row>
    <row r="1958" spans="1:16" ht="25.5">
      <c r="A1958" s="141">
        <v>76807</v>
      </c>
      <c r="B1958" s="141" t="s">
        <v>4325</v>
      </c>
      <c r="C1958" s="142">
        <v>41201</v>
      </c>
      <c r="D1958" s="141">
        <v>376</v>
      </c>
      <c r="E1958" s="141" t="str">
        <f t="shared" si="165"/>
        <v>001</v>
      </c>
      <c r="F1958" s="141" t="s">
        <v>4326</v>
      </c>
      <c r="G1958" s="141" t="str">
        <f t="shared" si="169"/>
        <v>2062</v>
      </c>
      <c r="H1958" s="141" t="s">
        <v>736</v>
      </c>
      <c r="I1958" s="141" t="str">
        <f t="shared" si="166"/>
        <v>999</v>
      </c>
      <c r="J1958" s="141" t="s">
        <v>4327</v>
      </c>
      <c r="K1958" s="141">
        <v>834</v>
      </c>
      <c r="L1958" s="141">
        <v>5</v>
      </c>
      <c r="M1958" s="141">
        <v>0</v>
      </c>
      <c r="N1958" s="141">
        <v>22000</v>
      </c>
      <c r="O1958" s="141" t="s">
        <v>4357</v>
      </c>
      <c r="P1958" s="141" t="s">
        <v>4362</v>
      </c>
    </row>
    <row r="1959" spans="1:16" ht="25.5">
      <c r="A1959" s="141">
        <v>76807</v>
      </c>
      <c r="B1959" s="141" t="s">
        <v>4325</v>
      </c>
      <c r="C1959" s="142">
        <v>41201</v>
      </c>
      <c r="D1959" s="141">
        <v>376</v>
      </c>
      <c r="E1959" s="141" t="str">
        <f t="shared" si="165"/>
        <v>001</v>
      </c>
      <c r="F1959" s="141" t="s">
        <v>4326</v>
      </c>
      <c r="G1959" s="141" t="str">
        <f t="shared" si="169"/>
        <v>2062</v>
      </c>
      <c r="H1959" s="141" t="s">
        <v>736</v>
      </c>
      <c r="I1959" s="141" t="str">
        <f t="shared" si="166"/>
        <v>999</v>
      </c>
      <c r="J1959" s="141" t="s">
        <v>4327</v>
      </c>
      <c r="K1959" s="141">
        <v>835</v>
      </c>
      <c r="L1959" s="141">
        <v>5</v>
      </c>
      <c r="M1959" s="141">
        <v>0</v>
      </c>
      <c r="N1959" s="141">
        <v>19000</v>
      </c>
      <c r="O1959" s="141" t="s">
        <v>4357</v>
      </c>
      <c r="P1959" s="141" t="s">
        <v>4361</v>
      </c>
    </row>
    <row r="1960" spans="1:16" ht="25.5">
      <c r="A1960" s="141">
        <v>76807</v>
      </c>
      <c r="B1960" s="141" t="s">
        <v>4325</v>
      </c>
      <c r="C1960" s="142">
        <v>41201</v>
      </c>
      <c r="D1960" s="141">
        <v>376</v>
      </c>
      <c r="E1960" s="141" t="str">
        <f t="shared" si="165"/>
        <v>001</v>
      </c>
      <c r="F1960" s="141" t="s">
        <v>4326</v>
      </c>
      <c r="G1960" s="141" t="str">
        <f t="shared" si="169"/>
        <v>2062</v>
      </c>
      <c r="H1960" s="141" t="s">
        <v>736</v>
      </c>
      <c r="I1960" s="141" t="str">
        <f t="shared" si="166"/>
        <v>999</v>
      </c>
      <c r="J1960" s="141" t="s">
        <v>4327</v>
      </c>
      <c r="K1960" s="141">
        <v>836</v>
      </c>
      <c r="L1960" s="141">
        <v>1</v>
      </c>
      <c r="M1960" s="141">
        <v>0</v>
      </c>
      <c r="N1960" s="141">
        <v>4000</v>
      </c>
      <c r="O1960" s="141" t="s">
        <v>4330</v>
      </c>
      <c r="P1960" s="141" t="s">
        <v>4348</v>
      </c>
    </row>
    <row r="1961" spans="1:16" ht="25.5">
      <c r="A1961" s="141">
        <v>76807</v>
      </c>
      <c r="B1961" s="141" t="s">
        <v>4325</v>
      </c>
      <c r="C1961" s="142">
        <v>41201</v>
      </c>
      <c r="D1961" s="141">
        <v>376</v>
      </c>
      <c r="E1961" s="141" t="str">
        <f t="shared" si="165"/>
        <v>001</v>
      </c>
      <c r="F1961" s="141" t="s">
        <v>4326</v>
      </c>
      <c r="G1961" s="141" t="str">
        <f t="shared" si="169"/>
        <v>2062</v>
      </c>
      <c r="H1961" s="141" t="s">
        <v>736</v>
      </c>
      <c r="I1961" s="141" t="str">
        <f t="shared" si="166"/>
        <v>999</v>
      </c>
      <c r="J1961" s="141" t="s">
        <v>4327</v>
      </c>
      <c r="K1961" s="141">
        <v>837</v>
      </c>
      <c r="L1961" s="141">
        <v>1</v>
      </c>
      <c r="M1961" s="141">
        <v>0</v>
      </c>
      <c r="N1961" s="141">
        <v>14000</v>
      </c>
      <c r="O1961" s="141" t="s">
        <v>4353</v>
      </c>
      <c r="P1961" s="141" t="s">
        <v>4857</v>
      </c>
    </row>
    <row r="1962" spans="1:16" ht="25.5">
      <c r="A1962" s="141">
        <v>76807</v>
      </c>
      <c r="B1962" s="141" t="s">
        <v>4325</v>
      </c>
      <c r="C1962" s="142">
        <v>41201</v>
      </c>
      <c r="D1962" s="141">
        <v>376</v>
      </c>
      <c r="E1962" s="141" t="str">
        <f t="shared" si="165"/>
        <v>001</v>
      </c>
      <c r="F1962" s="141" t="s">
        <v>4326</v>
      </c>
      <c r="G1962" s="141" t="str">
        <f t="shared" si="169"/>
        <v>2062</v>
      </c>
      <c r="H1962" s="141" t="s">
        <v>736</v>
      </c>
      <c r="I1962" s="141" t="str">
        <f t="shared" si="166"/>
        <v>999</v>
      </c>
      <c r="J1962" s="141" t="s">
        <v>4327</v>
      </c>
      <c r="K1962" s="141">
        <v>838</v>
      </c>
      <c r="L1962" s="141">
        <v>1</v>
      </c>
      <c r="M1962" s="141">
        <v>0</v>
      </c>
      <c r="N1962" s="141">
        <v>14000</v>
      </c>
      <c r="O1962" s="141" t="s">
        <v>4353</v>
      </c>
      <c r="P1962" s="141" t="s">
        <v>4857</v>
      </c>
    </row>
    <row r="1963" spans="1:16" ht="25.5">
      <c r="A1963" s="141">
        <v>76807</v>
      </c>
      <c r="B1963" s="141" t="s">
        <v>4325</v>
      </c>
      <c r="C1963" s="142">
        <v>41201</v>
      </c>
      <c r="D1963" s="141">
        <v>376</v>
      </c>
      <c r="E1963" s="141" t="str">
        <f t="shared" si="165"/>
        <v>001</v>
      </c>
      <c r="F1963" s="141" t="s">
        <v>4326</v>
      </c>
      <c r="G1963" s="141" t="str">
        <f t="shared" si="169"/>
        <v>2062</v>
      </c>
      <c r="H1963" s="141" t="s">
        <v>736</v>
      </c>
      <c r="I1963" s="141" t="str">
        <f t="shared" si="166"/>
        <v>999</v>
      </c>
      <c r="J1963" s="141" t="s">
        <v>4327</v>
      </c>
      <c r="K1963" s="141">
        <v>839</v>
      </c>
      <c r="L1963" s="141">
        <v>1</v>
      </c>
      <c r="M1963" s="141">
        <v>0</v>
      </c>
      <c r="N1963" s="141">
        <v>29000</v>
      </c>
      <c r="O1963" s="141" t="s">
        <v>4369</v>
      </c>
      <c r="P1963" s="141" t="s">
        <v>4858</v>
      </c>
    </row>
    <row r="1964" spans="1:16" ht="25.5">
      <c r="A1964" s="141">
        <v>76807</v>
      </c>
      <c r="B1964" s="141" t="s">
        <v>4325</v>
      </c>
      <c r="C1964" s="142">
        <v>41201</v>
      </c>
      <c r="D1964" s="141">
        <v>376</v>
      </c>
      <c r="E1964" s="141" t="str">
        <f t="shared" si="165"/>
        <v>001</v>
      </c>
      <c r="F1964" s="141" t="s">
        <v>4326</v>
      </c>
      <c r="G1964" s="141" t="str">
        <f t="shared" si="169"/>
        <v>2062</v>
      </c>
      <c r="H1964" s="141" t="s">
        <v>736</v>
      </c>
      <c r="I1964" s="141" t="str">
        <f t="shared" si="166"/>
        <v>999</v>
      </c>
      <c r="J1964" s="141" t="s">
        <v>4327</v>
      </c>
      <c r="K1964" s="141">
        <v>840</v>
      </c>
      <c r="L1964" s="141">
        <v>1</v>
      </c>
      <c r="M1964" s="141">
        <v>0</v>
      </c>
      <c r="N1964" s="141">
        <v>219000</v>
      </c>
      <c r="O1964" s="141" t="s">
        <v>4368</v>
      </c>
      <c r="P1964" s="141"/>
    </row>
    <row r="1965" spans="1:16" ht="25.5">
      <c r="A1965" s="141">
        <v>76807</v>
      </c>
      <c r="B1965" s="141" t="s">
        <v>4325</v>
      </c>
      <c r="C1965" s="142">
        <v>41201</v>
      </c>
      <c r="D1965" s="141">
        <v>376</v>
      </c>
      <c r="E1965" s="141" t="str">
        <f t="shared" si="165"/>
        <v>001</v>
      </c>
      <c r="F1965" s="141" t="s">
        <v>4326</v>
      </c>
      <c r="G1965" s="141" t="str">
        <f t="shared" si="169"/>
        <v>2062</v>
      </c>
      <c r="H1965" s="141" t="s">
        <v>736</v>
      </c>
      <c r="I1965" s="141" t="str">
        <f t="shared" si="166"/>
        <v>999</v>
      </c>
      <c r="J1965" s="141" t="s">
        <v>4327</v>
      </c>
      <c r="K1965" s="141">
        <v>841</v>
      </c>
      <c r="L1965" s="141">
        <v>3</v>
      </c>
      <c r="M1965" s="141">
        <v>0</v>
      </c>
      <c r="N1965" s="141">
        <v>2000</v>
      </c>
      <c r="O1965" s="141" t="s">
        <v>4343</v>
      </c>
      <c r="P1965" s="141"/>
    </row>
    <row r="1966" spans="1:16" ht="25.5">
      <c r="A1966" s="141">
        <v>76807</v>
      </c>
      <c r="B1966" s="141" t="s">
        <v>4325</v>
      </c>
      <c r="C1966" s="142">
        <v>41201</v>
      </c>
      <c r="D1966" s="141">
        <v>376</v>
      </c>
      <c r="E1966" s="141" t="str">
        <f t="shared" si="165"/>
        <v>001</v>
      </c>
      <c r="F1966" s="141" t="s">
        <v>4326</v>
      </c>
      <c r="G1966" s="141" t="str">
        <f t="shared" si="169"/>
        <v>2062</v>
      </c>
      <c r="H1966" s="141" t="s">
        <v>736</v>
      </c>
      <c r="I1966" s="141" t="str">
        <f t="shared" si="166"/>
        <v>999</v>
      </c>
      <c r="J1966" s="141" t="s">
        <v>4327</v>
      </c>
      <c r="K1966" s="141">
        <v>842</v>
      </c>
      <c r="L1966" s="141">
        <v>15</v>
      </c>
      <c r="M1966" s="141">
        <v>0</v>
      </c>
      <c r="N1966" s="141">
        <v>8000</v>
      </c>
      <c r="O1966" s="141" t="s">
        <v>4350</v>
      </c>
      <c r="P1966" s="141"/>
    </row>
    <row r="1967" spans="1:16" ht="25.5">
      <c r="A1967" s="141">
        <v>76807</v>
      </c>
      <c r="B1967" s="141" t="s">
        <v>4325</v>
      </c>
      <c r="C1967" s="142">
        <v>41201</v>
      </c>
      <c r="D1967" s="141">
        <v>376</v>
      </c>
      <c r="E1967" s="141" t="str">
        <f t="shared" si="165"/>
        <v>001</v>
      </c>
      <c r="F1967" s="141" t="s">
        <v>4326</v>
      </c>
      <c r="G1967" s="141" t="str">
        <f t="shared" si="169"/>
        <v>2062</v>
      </c>
      <c r="H1967" s="141" t="s">
        <v>736</v>
      </c>
      <c r="I1967" s="141" t="str">
        <f t="shared" si="166"/>
        <v>999</v>
      </c>
      <c r="J1967" s="141" t="s">
        <v>4327</v>
      </c>
      <c r="K1967" s="141">
        <v>843</v>
      </c>
      <c r="L1967" s="141">
        <v>2</v>
      </c>
      <c r="M1967" s="141">
        <v>0</v>
      </c>
      <c r="N1967" s="141">
        <v>1000</v>
      </c>
      <c r="O1967" s="141" t="s">
        <v>4381</v>
      </c>
      <c r="P1967" s="141"/>
    </row>
    <row r="1968" spans="1:16" ht="25.5">
      <c r="A1968" s="141">
        <v>76807</v>
      </c>
      <c r="B1968" s="141" t="s">
        <v>4325</v>
      </c>
      <c r="C1968" s="142">
        <v>41201</v>
      </c>
      <c r="D1968" s="141">
        <v>376</v>
      </c>
      <c r="E1968" s="141" t="str">
        <f t="shared" si="165"/>
        <v>001</v>
      </c>
      <c r="F1968" s="141" t="s">
        <v>4326</v>
      </c>
      <c r="G1968" s="141" t="str">
        <f t="shared" si="169"/>
        <v>2062</v>
      </c>
      <c r="H1968" s="141" t="s">
        <v>736</v>
      </c>
      <c r="I1968" s="141" t="str">
        <f t="shared" si="166"/>
        <v>999</v>
      </c>
      <c r="J1968" s="141" t="s">
        <v>4327</v>
      </c>
      <c r="K1968" s="141">
        <v>844</v>
      </c>
      <c r="L1968" s="141">
        <v>4</v>
      </c>
      <c r="M1968" s="141">
        <v>0</v>
      </c>
      <c r="N1968" s="141">
        <v>7000</v>
      </c>
      <c r="O1968" s="141" t="s">
        <v>4685</v>
      </c>
      <c r="P1968" s="141"/>
    </row>
    <row r="1969" spans="1:16" ht="25.5">
      <c r="A1969" s="141">
        <v>76807</v>
      </c>
      <c r="B1969" s="141" t="s">
        <v>4325</v>
      </c>
      <c r="C1969" s="142">
        <v>41201</v>
      </c>
      <c r="D1969" s="141">
        <v>376</v>
      </c>
      <c r="E1969" s="141" t="str">
        <f t="shared" si="165"/>
        <v>001</v>
      </c>
      <c r="F1969" s="141" t="s">
        <v>4326</v>
      </c>
      <c r="G1969" s="141" t="str">
        <f t="shared" si="169"/>
        <v>2062</v>
      </c>
      <c r="H1969" s="141" t="s">
        <v>736</v>
      </c>
      <c r="I1969" s="141" t="str">
        <f t="shared" si="166"/>
        <v>999</v>
      </c>
      <c r="J1969" s="141" t="s">
        <v>4327</v>
      </c>
      <c r="K1969" s="141">
        <v>845</v>
      </c>
      <c r="L1969" s="141">
        <v>3</v>
      </c>
      <c r="M1969" s="141">
        <v>0</v>
      </c>
      <c r="N1969" s="141">
        <v>2000</v>
      </c>
      <c r="O1969" s="141" t="s">
        <v>4403</v>
      </c>
      <c r="P1969" s="141"/>
    </row>
    <row r="1970" spans="1:16" ht="25.5">
      <c r="A1970" s="141">
        <v>76807</v>
      </c>
      <c r="B1970" s="141" t="s">
        <v>4325</v>
      </c>
      <c r="C1970" s="142">
        <v>41201</v>
      </c>
      <c r="D1970" s="141">
        <v>376</v>
      </c>
      <c r="E1970" s="141" t="str">
        <f t="shared" si="165"/>
        <v>001</v>
      </c>
      <c r="F1970" s="141" t="s">
        <v>4326</v>
      </c>
      <c r="G1970" s="141" t="str">
        <f t="shared" si="169"/>
        <v>2062</v>
      </c>
      <c r="H1970" s="141" t="s">
        <v>736</v>
      </c>
      <c r="I1970" s="141" t="str">
        <f t="shared" si="166"/>
        <v>999</v>
      </c>
      <c r="J1970" s="141" t="s">
        <v>4327</v>
      </c>
      <c r="K1970" s="141">
        <v>846</v>
      </c>
      <c r="L1970" s="141">
        <v>1</v>
      </c>
      <c r="M1970" s="141">
        <v>0</v>
      </c>
      <c r="N1970" s="141">
        <v>1000</v>
      </c>
      <c r="O1970" s="141" t="s">
        <v>4344</v>
      </c>
      <c r="P1970" s="141"/>
    </row>
    <row r="1971" spans="1:16" ht="25.5">
      <c r="A1971" s="141">
        <v>76807</v>
      </c>
      <c r="B1971" s="141" t="s">
        <v>4325</v>
      </c>
      <c r="C1971" s="142">
        <v>41201</v>
      </c>
      <c r="D1971" s="141">
        <v>376</v>
      </c>
      <c r="E1971" s="141" t="str">
        <f t="shared" si="165"/>
        <v>001</v>
      </c>
      <c r="F1971" s="141" t="s">
        <v>4326</v>
      </c>
      <c r="G1971" s="141" t="str">
        <f t="shared" si="169"/>
        <v>2062</v>
      </c>
      <c r="H1971" s="141" t="s">
        <v>736</v>
      </c>
      <c r="I1971" s="141" t="str">
        <f t="shared" si="166"/>
        <v>999</v>
      </c>
      <c r="J1971" s="141" t="s">
        <v>4327</v>
      </c>
      <c r="K1971" s="141">
        <v>847</v>
      </c>
      <c r="L1971" s="141">
        <v>1</v>
      </c>
      <c r="M1971" s="141">
        <v>0</v>
      </c>
      <c r="N1971" s="141">
        <v>2000</v>
      </c>
      <c r="O1971" s="141" t="s">
        <v>4345</v>
      </c>
      <c r="P1971" s="141"/>
    </row>
    <row r="1972" spans="1:16" ht="25.5">
      <c r="A1972" s="141">
        <v>76807</v>
      </c>
      <c r="B1972" s="141" t="s">
        <v>4325</v>
      </c>
      <c r="C1972" s="142">
        <v>41201</v>
      </c>
      <c r="D1972" s="141">
        <v>376</v>
      </c>
      <c r="E1972" s="141" t="str">
        <f t="shared" si="165"/>
        <v>001</v>
      </c>
      <c r="F1972" s="141" t="s">
        <v>4326</v>
      </c>
      <c r="G1972" s="141" t="str">
        <f t="shared" si="169"/>
        <v>2062</v>
      </c>
      <c r="H1972" s="141" t="s">
        <v>736</v>
      </c>
      <c r="I1972" s="141" t="str">
        <f t="shared" si="166"/>
        <v>999</v>
      </c>
      <c r="J1972" s="141" t="s">
        <v>4327</v>
      </c>
      <c r="K1972" s="141">
        <v>848</v>
      </c>
      <c r="L1972" s="141">
        <v>1</v>
      </c>
      <c r="M1972" s="141">
        <v>0</v>
      </c>
      <c r="N1972" s="141">
        <v>9000</v>
      </c>
      <c r="O1972" s="141" t="s">
        <v>4397</v>
      </c>
      <c r="P1972" s="141" t="s">
        <v>4617</v>
      </c>
    </row>
    <row r="1973" spans="1:16" ht="25.5">
      <c r="A1973" s="141">
        <v>76807</v>
      </c>
      <c r="B1973" s="141" t="s">
        <v>4325</v>
      </c>
      <c r="C1973" s="142">
        <v>41201</v>
      </c>
      <c r="D1973" s="141">
        <v>376</v>
      </c>
      <c r="E1973" s="141" t="str">
        <f t="shared" si="165"/>
        <v>001</v>
      </c>
      <c r="F1973" s="141" t="s">
        <v>4326</v>
      </c>
      <c r="G1973" s="141" t="str">
        <f t="shared" si="169"/>
        <v>2062</v>
      </c>
      <c r="H1973" s="141" t="s">
        <v>736</v>
      </c>
      <c r="I1973" s="141" t="str">
        <f t="shared" si="166"/>
        <v>999</v>
      </c>
      <c r="J1973" s="141" t="s">
        <v>4327</v>
      </c>
      <c r="K1973" s="141">
        <v>849</v>
      </c>
      <c r="L1973" s="141">
        <v>1</v>
      </c>
      <c r="M1973" s="141">
        <v>0</v>
      </c>
      <c r="N1973" s="141">
        <v>126000</v>
      </c>
      <c r="O1973" s="141" t="s">
        <v>4859</v>
      </c>
      <c r="P1973" s="141"/>
    </row>
    <row r="1974" spans="1:16" ht="25.5">
      <c r="A1974" s="141">
        <v>76807</v>
      </c>
      <c r="B1974" s="141" t="s">
        <v>4325</v>
      </c>
      <c r="C1974" s="142">
        <v>41201</v>
      </c>
      <c r="D1974" s="141">
        <v>368</v>
      </c>
      <c r="E1974" s="141" t="str">
        <f t="shared" si="165"/>
        <v>001</v>
      </c>
      <c r="F1974" s="141" t="s">
        <v>4326</v>
      </c>
      <c r="G1974" s="141" t="str">
        <f t="shared" ref="G1974:G1982" si="170">"2063"</f>
        <v>2063</v>
      </c>
      <c r="H1974" s="141" t="s">
        <v>2820</v>
      </c>
      <c r="I1974" s="141" t="str">
        <f t="shared" si="166"/>
        <v>999</v>
      </c>
      <c r="J1974" s="141" t="s">
        <v>4327</v>
      </c>
      <c r="K1974" s="141">
        <v>798</v>
      </c>
      <c r="L1974" s="141">
        <v>3</v>
      </c>
      <c r="M1974" s="141">
        <v>0</v>
      </c>
      <c r="N1974" s="141">
        <v>7000</v>
      </c>
      <c r="O1974" s="141" t="s">
        <v>4339</v>
      </c>
      <c r="P1974" s="141" t="s">
        <v>4340</v>
      </c>
    </row>
    <row r="1975" spans="1:16" ht="25.5">
      <c r="A1975" s="141">
        <v>76807</v>
      </c>
      <c r="B1975" s="141" t="s">
        <v>4325</v>
      </c>
      <c r="C1975" s="142">
        <v>41201</v>
      </c>
      <c r="D1975" s="141">
        <v>368</v>
      </c>
      <c r="E1975" s="141" t="str">
        <f t="shared" si="165"/>
        <v>001</v>
      </c>
      <c r="F1975" s="141" t="s">
        <v>4326</v>
      </c>
      <c r="G1975" s="141" t="str">
        <f t="shared" si="170"/>
        <v>2063</v>
      </c>
      <c r="H1975" s="141" t="s">
        <v>2820</v>
      </c>
      <c r="I1975" s="141" t="str">
        <f t="shared" si="166"/>
        <v>999</v>
      </c>
      <c r="J1975" s="141" t="s">
        <v>4327</v>
      </c>
      <c r="K1975" s="141">
        <v>799</v>
      </c>
      <c r="L1975" s="141">
        <v>2</v>
      </c>
      <c r="M1975" s="141">
        <v>0</v>
      </c>
      <c r="N1975" s="141">
        <v>6000</v>
      </c>
      <c r="O1975" s="141" t="s">
        <v>4339</v>
      </c>
      <c r="P1975" s="141" t="s">
        <v>4335</v>
      </c>
    </row>
    <row r="1976" spans="1:16" ht="25.5">
      <c r="A1976" s="141">
        <v>76807</v>
      </c>
      <c r="B1976" s="141" t="s">
        <v>4325</v>
      </c>
      <c r="C1976" s="142">
        <v>41201</v>
      </c>
      <c r="D1976" s="141">
        <v>368</v>
      </c>
      <c r="E1976" s="141" t="str">
        <f t="shared" si="165"/>
        <v>001</v>
      </c>
      <c r="F1976" s="141" t="s">
        <v>4326</v>
      </c>
      <c r="G1976" s="141" t="str">
        <f t="shared" si="170"/>
        <v>2063</v>
      </c>
      <c r="H1976" s="141" t="s">
        <v>2820</v>
      </c>
      <c r="I1976" s="141" t="str">
        <f t="shared" si="166"/>
        <v>999</v>
      </c>
      <c r="J1976" s="141" t="s">
        <v>4327</v>
      </c>
      <c r="K1976" s="141">
        <v>800</v>
      </c>
      <c r="L1976" s="141">
        <v>2</v>
      </c>
      <c r="M1976" s="141">
        <v>0</v>
      </c>
      <c r="N1976" s="141">
        <v>3000</v>
      </c>
      <c r="O1976" s="141" t="s">
        <v>4339</v>
      </c>
      <c r="P1976" s="141" t="s">
        <v>4363</v>
      </c>
    </row>
    <row r="1977" spans="1:16" ht="25.5">
      <c r="A1977" s="141">
        <v>76807</v>
      </c>
      <c r="B1977" s="141" t="s">
        <v>4325</v>
      </c>
      <c r="C1977" s="142">
        <v>41201</v>
      </c>
      <c r="D1977" s="141">
        <v>368</v>
      </c>
      <c r="E1977" s="141" t="str">
        <f t="shared" si="165"/>
        <v>001</v>
      </c>
      <c r="F1977" s="141" t="s">
        <v>4326</v>
      </c>
      <c r="G1977" s="141" t="str">
        <f t="shared" si="170"/>
        <v>2063</v>
      </c>
      <c r="H1977" s="141" t="s">
        <v>2820</v>
      </c>
      <c r="I1977" s="141" t="str">
        <f t="shared" si="166"/>
        <v>999</v>
      </c>
      <c r="J1977" s="141" t="s">
        <v>4327</v>
      </c>
      <c r="K1977" s="141">
        <v>801</v>
      </c>
      <c r="L1977" s="141">
        <v>1</v>
      </c>
      <c r="M1977" s="141">
        <v>0</v>
      </c>
      <c r="N1977" s="141">
        <v>10000</v>
      </c>
      <c r="O1977" s="141" t="s">
        <v>4353</v>
      </c>
      <c r="P1977" s="141" t="s">
        <v>4860</v>
      </c>
    </row>
    <row r="1978" spans="1:16" ht="25.5">
      <c r="A1978" s="141">
        <v>76807</v>
      </c>
      <c r="B1978" s="141" t="s">
        <v>4325</v>
      </c>
      <c r="C1978" s="142">
        <v>41201</v>
      </c>
      <c r="D1978" s="141">
        <v>368</v>
      </c>
      <c r="E1978" s="141" t="str">
        <f t="shared" si="165"/>
        <v>001</v>
      </c>
      <c r="F1978" s="141" t="s">
        <v>4326</v>
      </c>
      <c r="G1978" s="141" t="str">
        <f t="shared" si="170"/>
        <v>2063</v>
      </c>
      <c r="H1978" s="141" t="s">
        <v>2820</v>
      </c>
      <c r="I1978" s="141" t="str">
        <f t="shared" si="166"/>
        <v>999</v>
      </c>
      <c r="J1978" s="141" t="s">
        <v>4327</v>
      </c>
      <c r="K1978" s="141">
        <v>802</v>
      </c>
      <c r="L1978" s="141">
        <v>2</v>
      </c>
      <c r="M1978" s="141">
        <v>0</v>
      </c>
      <c r="N1978" s="141">
        <v>72000</v>
      </c>
      <c r="O1978" s="141" t="s">
        <v>4567</v>
      </c>
      <c r="P1978" s="141"/>
    </row>
    <row r="1979" spans="1:16" ht="25.5">
      <c r="A1979" s="141">
        <v>76807</v>
      </c>
      <c r="B1979" s="141" t="s">
        <v>4325</v>
      </c>
      <c r="C1979" s="142">
        <v>41201</v>
      </c>
      <c r="D1979" s="141">
        <v>368</v>
      </c>
      <c r="E1979" s="141" t="str">
        <f t="shared" si="165"/>
        <v>001</v>
      </c>
      <c r="F1979" s="141" t="s">
        <v>4326</v>
      </c>
      <c r="G1979" s="141" t="str">
        <f t="shared" si="170"/>
        <v>2063</v>
      </c>
      <c r="H1979" s="141" t="s">
        <v>2820</v>
      </c>
      <c r="I1979" s="141" t="str">
        <f t="shared" si="166"/>
        <v>999</v>
      </c>
      <c r="J1979" s="141" t="s">
        <v>4327</v>
      </c>
      <c r="K1979" s="141">
        <v>803</v>
      </c>
      <c r="L1979" s="141">
        <v>1</v>
      </c>
      <c r="M1979" s="141">
        <v>0</v>
      </c>
      <c r="N1979" s="141">
        <v>30000</v>
      </c>
      <c r="O1979" s="141" t="s">
        <v>4566</v>
      </c>
      <c r="P1979" s="141"/>
    </row>
    <row r="1980" spans="1:16" ht="25.5">
      <c r="A1980" s="141">
        <v>76807</v>
      </c>
      <c r="B1980" s="141" t="s">
        <v>4325</v>
      </c>
      <c r="C1980" s="142">
        <v>41201</v>
      </c>
      <c r="D1980" s="141">
        <v>368</v>
      </c>
      <c r="E1980" s="141" t="str">
        <f t="shared" si="165"/>
        <v>001</v>
      </c>
      <c r="F1980" s="141" t="s">
        <v>4326</v>
      </c>
      <c r="G1980" s="141" t="str">
        <f t="shared" si="170"/>
        <v>2063</v>
      </c>
      <c r="H1980" s="141" t="s">
        <v>2820</v>
      </c>
      <c r="I1980" s="141" t="str">
        <f t="shared" si="166"/>
        <v>999</v>
      </c>
      <c r="J1980" s="141" t="s">
        <v>4327</v>
      </c>
      <c r="K1980" s="141">
        <v>804</v>
      </c>
      <c r="L1980" s="141">
        <v>2</v>
      </c>
      <c r="M1980" s="141">
        <v>0</v>
      </c>
      <c r="N1980" s="141">
        <v>6000</v>
      </c>
      <c r="O1980" s="141" t="s">
        <v>4568</v>
      </c>
      <c r="P1980" s="141"/>
    </row>
    <row r="1981" spans="1:16" ht="25.5">
      <c r="A1981" s="141">
        <v>76807</v>
      </c>
      <c r="B1981" s="141" t="s">
        <v>4325</v>
      </c>
      <c r="C1981" s="142">
        <v>41201</v>
      </c>
      <c r="D1981" s="141">
        <v>368</v>
      </c>
      <c r="E1981" s="141" t="str">
        <f t="shared" si="165"/>
        <v>001</v>
      </c>
      <c r="F1981" s="141" t="s">
        <v>4326</v>
      </c>
      <c r="G1981" s="141" t="str">
        <f t="shared" si="170"/>
        <v>2063</v>
      </c>
      <c r="H1981" s="141" t="s">
        <v>2820</v>
      </c>
      <c r="I1981" s="141" t="str">
        <f t="shared" si="166"/>
        <v>999</v>
      </c>
      <c r="J1981" s="141" t="s">
        <v>4327</v>
      </c>
      <c r="K1981" s="141">
        <v>999</v>
      </c>
      <c r="L1981" s="141">
        <v>4</v>
      </c>
      <c r="M1981" s="141">
        <v>0</v>
      </c>
      <c r="N1981" s="141">
        <v>15000</v>
      </c>
      <c r="O1981" s="141" t="s">
        <v>4334</v>
      </c>
      <c r="P1981" s="141" t="s">
        <v>4385</v>
      </c>
    </row>
    <row r="1982" spans="1:16" ht="25.5">
      <c r="A1982" s="141">
        <v>76807</v>
      </c>
      <c r="B1982" s="141" t="s">
        <v>4325</v>
      </c>
      <c r="C1982" s="142">
        <v>41201</v>
      </c>
      <c r="D1982" s="141">
        <v>368</v>
      </c>
      <c r="E1982" s="141" t="str">
        <f t="shared" si="165"/>
        <v>001</v>
      </c>
      <c r="F1982" s="141" t="s">
        <v>4326</v>
      </c>
      <c r="G1982" s="141" t="str">
        <f t="shared" si="170"/>
        <v>2063</v>
      </c>
      <c r="H1982" s="141" t="s">
        <v>2820</v>
      </c>
      <c r="I1982" s="141" t="str">
        <f t="shared" si="166"/>
        <v>999</v>
      </c>
      <c r="J1982" s="141" t="s">
        <v>4327</v>
      </c>
      <c r="K1982" s="141">
        <v>1000</v>
      </c>
      <c r="L1982" s="141">
        <v>1</v>
      </c>
      <c r="M1982" s="141">
        <v>0</v>
      </c>
      <c r="N1982" s="141">
        <v>5000</v>
      </c>
      <c r="O1982" s="141" t="s">
        <v>4353</v>
      </c>
      <c r="P1982" s="141" t="s">
        <v>4758</v>
      </c>
    </row>
    <row r="1983" spans="1:16" ht="25.5">
      <c r="A1983" s="141">
        <v>76807</v>
      </c>
      <c r="B1983" s="141" t="s">
        <v>4325</v>
      </c>
      <c r="C1983" s="142">
        <v>41201</v>
      </c>
      <c r="D1983" s="141">
        <v>335</v>
      </c>
      <c r="E1983" s="141" t="str">
        <f t="shared" si="165"/>
        <v>001</v>
      </c>
      <c r="F1983" s="141" t="s">
        <v>4326</v>
      </c>
      <c r="G1983" s="141" t="str">
        <f t="shared" ref="G1983:G1991" si="171">"2064"</f>
        <v>2064</v>
      </c>
      <c r="H1983" s="141" t="s">
        <v>4861</v>
      </c>
      <c r="I1983" s="141" t="str">
        <f t="shared" si="166"/>
        <v>999</v>
      </c>
      <c r="J1983" s="141" t="s">
        <v>4327</v>
      </c>
      <c r="K1983" s="141">
        <v>460</v>
      </c>
      <c r="L1983" s="141">
        <v>1</v>
      </c>
      <c r="M1983" s="141">
        <v>0</v>
      </c>
      <c r="N1983" s="141">
        <v>3000</v>
      </c>
      <c r="O1983" s="141" t="s">
        <v>4353</v>
      </c>
      <c r="P1983" s="141" t="s">
        <v>4862</v>
      </c>
    </row>
    <row r="1984" spans="1:16" ht="25.5">
      <c r="A1984" s="141">
        <v>76807</v>
      </c>
      <c r="B1984" s="141" t="s">
        <v>4325</v>
      </c>
      <c r="C1984" s="142">
        <v>41201</v>
      </c>
      <c r="D1984" s="141">
        <v>335</v>
      </c>
      <c r="E1984" s="141" t="str">
        <f t="shared" si="165"/>
        <v>001</v>
      </c>
      <c r="F1984" s="141" t="s">
        <v>4326</v>
      </c>
      <c r="G1984" s="141" t="str">
        <f t="shared" si="171"/>
        <v>2064</v>
      </c>
      <c r="H1984" s="141" t="s">
        <v>4861</v>
      </c>
      <c r="I1984" s="141" t="str">
        <f t="shared" si="166"/>
        <v>999</v>
      </c>
      <c r="J1984" s="141" t="s">
        <v>4327</v>
      </c>
      <c r="K1984" s="141">
        <v>461</v>
      </c>
      <c r="L1984" s="141">
        <v>1</v>
      </c>
      <c r="M1984" s="141">
        <v>0</v>
      </c>
      <c r="N1984" s="141">
        <v>2000</v>
      </c>
      <c r="O1984" s="141" t="s">
        <v>4351</v>
      </c>
      <c r="P1984" s="141" t="s">
        <v>4390</v>
      </c>
    </row>
    <row r="1985" spans="1:16" ht="25.5">
      <c r="A1985" s="141">
        <v>76807</v>
      </c>
      <c r="B1985" s="141" t="s">
        <v>4325</v>
      </c>
      <c r="C1985" s="142">
        <v>41201</v>
      </c>
      <c r="D1985" s="141">
        <v>335</v>
      </c>
      <c r="E1985" s="141" t="str">
        <f t="shared" si="165"/>
        <v>001</v>
      </c>
      <c r="F1985" s="141" t="s">
        <v>4326</v>
      </c>
      <c r="G1985" s="141" t="str">
        <f t="shared" si="171"/>
        <v>2064</v>
      </c>
      <c r="H1985" s="141" t="s">
        <v>4861</v>
      </c>
      <c r="I1985" s="141" t="str">
        <f t="shared" si="166"/>
        <v>999</v>
      </c>
      <c r="J1985" s="141" t="s">
        <v>4327</v>
      </c>
      <c r="K1985" s="141">
        <v>462</v>
      </c>
      <c r="L1985" s="141">
        <v>1</v>
      </c>
      <c r="M1985" s="141">
        <v>0</v>
      </c>
      <c r="N1985" s="141">
        <v>3000</v>
      </c>
      <c r="O1985" s="141" t="s">
        <v>4328</v>
      </c>
      <c r="P1985" s="141" t="s">
        <v>4390</v>
      </c>
    </row>
    <row r="1986" spans="1:16" ht="25.5">
      <c r="A1986" s="141">
        <v>76807</v>
      </c>
      <c r="B1986" s="141" t="s">
        <v>4325</v>
      </c>
      <c r="C1986" s="142">
        <v>41201</v>
      </c>
      <c r="D1986" s="141">
        <v>335</v>
      </c>
      <c r="E1986" s="141" t="str">
        <f t="shared" ref="E1986:E2049" si="172">"001"</f>
        <v>001</v>
      </c>
      <c r="F1986" s="141" t="s">
        <v>4326</v>
      </c>
      <c r="G1986" s="141" t="str">
        <f t="shared" si="171"/>
        <v>2064</v>
      </c>
      <c r="H1986" s="141" t="s">
        <v>4861</v>
      </c>
      <c r="I1986" s="141" t="str">
        <f t="shared" ref="I1986:I2049" si="173">"999"</f>
        <v>999</v>
      </c>
      <c r="J1986" s="141" t="s">
        <v>4327</v>
      </c>
      <c r="K1986" s="141">
        <v>463</v>
      </c>
      <c r="L1986" s="141">
        <v>2</v>
      </c>
      <c r="M1986" s="141">
        <v>0</v>
      </c>
      <c r="N1986" s="141">
        <v>1000</v>
      </c>
      <c r="O1986" s="141" t="s">
        <v>4350</v>
      </c>
      <c r="P1986" s="141"/>
    </row>
    <row r="1987" spans="1:16" ht="25.5">
      <c r="A1987" s="141">
        <v>76807</v>
      </c>
      <c r="B1987" s="141" t="s">
        <v>4325</v>
      </c>
      <c r="C1987" s="142">
        <v>41201</v>
      </c>
      <c r="D1987" s="141">
        <v>335</v>
      </c>
      <c r="E1987" s="141" t="str">
        <f t="shared" si="172"/>
        <v>001</v>
      </c>
      <c r="F1987" s="141" t="s">
        <v>4326</v>
      </c>
      <c r="G1987" s="141" t="str">
        <f t="shared" si="171"/>
        <v>2064</v>
      </c>
      <c r="H1987" s="141" t="s">
        <v>4861</v>
      </c>
      <c r="I1987" s="141" t="str">
        <f t="shared" si="173"/>
        <v>999</v>
      </c>
      <c r="J1987" s="141" t="s">
        <v>4327</v>
      </c>
      <c r="K1987" s="141">
        <v>464</v>
      </c>
      <c r="L1987" s="141">
        <v>1</v>
      </c>
      <c r="M1987" s="141">
        <v>0</v>
      </c>
      <c r="N1987" s="141">
        <v>1000</v>
      </c>
      <c r="O1987" s="141" t="s">
        <v>4343</v>
      </c>
      <c r="P1987" s="141"/>
    </row>
    <row r="1988" spans="1:16" ht="25.5">
      <c r="A1988" s="141">
        <v>76807</v>
      </c>
      <c r="B1988" s="141" t="s">
        <v>4325</v>
      </c>
      <c r="C1988" s="142">
        <v>41201</v>
      </c>
      <c r="D1988" s="141">
        <v>335</v>
      </c>
      <c r="E1988" s="141" t="str">
        <f t="shared" si="172"/>
        <v>001</v>
      </c>
      <c r="F1988" s="141" t="s">
        <v>4326</v>
      </c>
      <c r="G1988" s="141" t="str">
        <f t="shared" si="171"/>
        <v>2064</v>
      </c>
      <c r="H1988" s="141" t="s">
        <v>4861</v>
      </c>
      <c r="I1988" s="141" t="str">
        <f t="shared" si="173"/>
        <v>999</v>
      </c>
      <c r="J1988" s="141" t="s">
        <v>4327</v>
      </c>
      <c r="K1988" s="141">
        <v>465</v>
      </c>
      <c r="L1988" s="141">
        <v>1</v>
      </c>
      <c r="M1988" s="141">
        <v>0</v>
      </c>
      <c r="N1988" s="141">
        <v>2000</v>
      </c>
      <c r="O1988" s="141" t="s">
        <v>4345</v>
      </c>
      <c r="P1988" s="141"/>
    </row>
    <row r="1989" spans="1:16" ht="25.5">
      <c r="A1989" s="141">
        <v>76807</v>
      </c>
      <c r="B1989" s="141" t="s">
        <v>4325</v>
      </c>
      <c r="C1989" s="142">
        <v>41201</v>
      </c>
      <c r="D1989" s="141">
        <v>335</v>
      </c>
      <c r="E1989" s="141" t="str">
        <f t="shared" si="172"/>
        <v>001</v>
      </c>
      <c r="F1989" s="141" t="s">
        <v>4326</v>
      </c>
      <c r="G1989" s="141" t="str">
        <f t="shared" si="171"/>
        <v>2064</v>
      </c>
      <c r="H1989" s="141" t="s">
        <v>4861</v>
      </c>
      <c r="I1989" s="141" t="str">
        <f t="shared" si="173"/>
        <v>999</v>
      </c>
      <c r="J1989" s="141" t="s">
        <v>4327</v>
      </c>
      <c r="K1989" s="141">
        <v>466</v>
      </c>
      <c r="L1989" s="141">
        <v>1</v>
      </c>
      <c r="M1989" s="141">
        <v>0</v>
      </c>
      <c r="N1989" s="141">
        <v>5000</v>
      </c>
      <c r="O1989" s="141" t="s">
        <v>4369</v>
      </c>
      <c r="P1989" s="141" t="s">
        <v>4602</v>
      </c>
    </row>
    <row r="1990" spans="1:16" ht="25.5">
      <c r="A1990" s="141">
        <v>76807</v>
      </c>
      <c r="B1990" s="141" t="s">
        <v>4325</v>
      </c>
      <c r="C1990" s="142">
        <v>41201</v>
      </c>
      <c r="D1990" s="141">
        <v>335</v>
      </c>
      <c r="E1990" s="141" t="str">
        <f t="shared" si="172"/>
        <v>001</v>
      </c>
      <c r="F1990" s="141" t="s">
        <v>4326</v>
      </c>
      <c r="G1990" s="141" t="str">
        <f t="shared" si="171"/>
        <v>2064</v>
      </c>
      <c r="H1990" s="141" t="s">
        <v>4861</v>
      </c>
      <c r="I1990" s="141" t="str">
        <f t="shared" si="173"/>
        <v>999</v>
      </c>
      <c r="J1990" s="141" t="s">
        <v>4327</v>
      </c>
      <c r="K1990" s="141">
        <v>467</v>
      </c>
      <c r="L1990" s="141">
        <v>1</v>
      </c>
      <c r="M1990" s="141">
        <v>0</v>
      </c>
      <c r="N1990" s="141">
        <v>66000</v>
      </c>
      <c r="O1990" s="141" t="s">
        <v>4368</v>
      </c>
      <c r="P1990" s="141"/>
    </row>
    <row r="1991" spans="1:16" ht="25.5">
      <c r="A1991" s="141">
        <v>76807</v>
      </c>
      <c r="B1991" s="141" t="s">
        <v>4325</v>
      </c>
      <c r="C1991" s="142">
        <v>41201</v>
      </c>
      <c r="D1991" s="141">
        <v>335</v>
      </c>
      <c r="E1991" s="141" t="str">
        <f t="shared" si="172"/>
        <v>001</v>
      </c>
      <c r="F1991" s="141" t="s">
        <v>4326</v>
      </c>
      <c r="G1991" s="141" t="str">
        <f t="shared" si="171"/>
        <v>2064</v>
      </c>
      <c r="H1991" s="141" t="s">
        <v>4861</v>
      </c>
      <c r="I1991" s="141" t="str">
        <f t="shared" si="173"/>
        <v>999</v>
      </c>
      <c r="J1991" s="141" t="s">
        <v>4327</v>
      </c>
      <c r="K1991" s="141">
        <v>468</v>
      </c>
      <c r="L1991" s="141">
        <v>1</v>
      </c>
      <c r="M1991" s="141">
        <v>0</v>
      </c>
      <c r="N1991" s="141">
        <v>2000</v>
      </c>
      <c r="O1991" s="141" t="s">
        <v>4592</v>
      </c>
      <c r="P1991" s="141"/>
    </row>
    <row r="1992" spans="1:16" ht="25.5">
      <c r="A1992" s="141">
        <v>76807</v>
      </c>
      <c r="B1992" s="141" t="s">
        <v>4325</v>
      </c>
      <c r="C1992" s="142">
        <v>41201</v>
      </c>
      <c r="D1992" s="141">
        <v>396</v>
      </c>
      <c r="E1992" s="141" t="str">
        <f t="shared" si="172"/>
        <v>001</v>
      </c>
      <c r="F1992" s="141" t="s">
        <v>4326</v>
      </c>
      <c r="G1992" s="141" t="str">
        <f t="shared" ref="G1992:G1997" si="174">"2065"</f>
        <v>2065</v>
      </c>
      <c r="H1992" s="141" t="s">
        <v>3814</v>
      </c>
      <c r="I1992" s="141" t="str">
        <f t="shared" si="173"/>
        <v>999</v>
      </c>
      <c r="J1992" s="141" t="s">
        <v>4327</v>
      </c>
      <c r="K1992" s="141">
        <v>1050</v>
      </c>
      <c r="L1992" s="141">
        <v>6</v>
      </c>
      <c r="M1992" s="141">
        <v>0</v>
      </c>
      <c r="N1992" s="141">
        <v>13000</v>
      </c>
      <c r="O1992" s="141" t="s">
        <v>4408</v>
      </c>
      <c r="P1992" s="141"/>
    </row>
    <row r="1993" spans="1:16" ht="25.5">
      <c r="A1993" s="141">
        <v>76807</v>
      </c>
      <c r="B1993" s="141" t="s">
        <v>4325</v>
      </c>
      <c r="C1993" s="142">
        <v>41201</v>
      </c>
      <c r="D1993" s="141">
        <v>396</v>
      </c>
      <c r="E1993" s="141" t="str">
        <f t="shared" si="172"/>
        <v>001</v>
      </c>
      <c r="F1993" s="141" t="s">
        <v>4326</v>
      </c>
      <c r="G1993" s="141" t="str">
        <f t="shared" si="174"/>
        <v>2065</v>
      </c>
      <c r="H1993" s="141" t="s">
        <v>3814</v>
      </c>
      <c r="I1993" s="141" t="str">
        <f t="shared" si="173"/>
        <v>999</v>
      </c>
      <c r="J1993" s="141" t="s">
        <v>4327</v>
      </c>
      <c r="K1993" s="141">
        <v>1051</v>
      </c>
      <c r="L1993" s="141">
        <v>4</v>
      </c>
      <c r="M1993" s="141">
        <v>0</v>
      </c>
      <c r="N1993" s="141">
        <v>3000</v>
      </c>
      <c r="O1993" s="141" t="s">
        <v>4343</v>
      </c>
      <c r="P1993" s="141"/>
    </row>
    <row r="1994" spans="1:16" ht="25.5">
      <c r="A1994" s="141">
        <v>76807</v>
      </c>
      <c r="B1994" s="141" t="s">
        <v>4325</v>
      </c>
      <c r="C1994" s="142">
        <v>41201</v>
      </c>
      <c r="D1994" s="141">
        <v>396</v>
      </c>
      <c r="E1994" s="141" t="str">
        <f t="shared" si="172"/>
        <v>001</v>
      </c>
      <c r="F1994" s="141" t="s">
        <v>4326</v>
      </c>
      <c r="G1994" s="141" t="str">
        <f t="shared" si="174"/>
        <v>2065</v>
      </c>
      <c r="H1994" s="141" t="s">
        <v>3814</v>
      </c>
      <c r="I1994" s="141" t="str">
        <f t="shared" si="173"/>
        <v>999</v>
      </c>
      <c r="J1994" s="141" t="s">
        <v>4327</v>
      </c>
      <c r="K1994" s="141">
        <v>1052</v>
      </c>
      <c r="L1994" s="141">
        <v>4</v>
      </c>
      <c r="M1994" s="141">
        <v>0</v>
      </c>
      <c r="N1994" s="141">
        <v>2000</v>
      </c>
      <c r="O1994" s="141" t="s">
        <v>4350</v>
      </c>
      <c r="P1994" s="141"/>
    </row>
    <row r="1995" spans="1:16" ht="25.5">
      <c r="A1995" s="141">
        <v>76807</v>
      </c>
      <c r="B1995" s="141" t="s">
        <v>4325</v>
      </c>
      <c r="C1995" s="142">
        <v>41201</v>
      </c>
      <c r="D1995" s="141">
        <v>396</v>
      </c>
      <c r="E1995" s="141" t="str">
        <f t="shared" si="172"/>
        <v>001</v>
      </c>
      <c r="F1995" s="141" t="s">
        <v>4326</v>
      </c>
      <c r="G1995" s="141" t="str">
        <f t="shared" si="174"/>
        <v>2065</v>
      </c>
      <c r="H1995" s="141" t="s">
        <v>3814</v>
      </c>
      <c r="I1995" s="141" t="str">
        <f t="shared" si="173"/>
        <v>999</v>
      </c>
      <c r="J1995" s="141" t="s">
        <v>4327</v>
      </c>
      <c r="K1995" s="141">
        <v>1053</v>
      </c>
      <c r="L1995" s="141">
        <v>1</v>
      </c>
      <c r="M1995" s="141">
        <v>0</v>
      </c>
      <c r="N1995" s="141">
        <v>10000</v>
      </c>
      <c r="O1995" s="141" t="s">
        <v>4353</v>
      </c>
      <c r="P1995" s="141" t="s">
        <v>4524</v>
      </c>
    </row>
    <row r="1996" spans="1:16" ht="25.5">
      <c r="A1996" s="141">
        <v>76807</v>
      </c>
      <c r="B1996" s="141" t="s">
        <v>4325</v>
      </c>
      <c r="C1996" s="142">
        <v>41201</v>
      </c>
      <c r="D1996" s="141">
        <v>396</v>
      </c>
      <c r="E1996" s="141" t="str">
        <f t="shared" si="172"/>
        <v>001</v>
      </c>
      <c r="F1996" s="141" t="s">
        <v>4326</v>
      </c>
      <c r="G1996" s="141" t="str">
        <f t="shared" si="174"/>
        <v>2065</v>
      </c>
      <c r="H1996" s="141" t="s">
        <v>3814</v>
      </c>
      <c r="I1996" s="141" t="str">
        <f t="shared" si="173"/>
        <v>999</v>
      </c>
      <c r="J1996" s="141" t="s">
        <v>4327</v>
      </c>
      <c r="K1996" s="141">
        <v>1054</v>
      </c>
      <c r="L1996" s="141">
        <v>6</v>
      </c>
      <c r="M1996" s="141">
        <v>0</v>
      </c>
      <c r="N1996" s="141">
        <v>23000</v>
      </c>
      <c r="O1996" s="141" t="s">
        <v>4357</v>
      </c>
      <c r="P1996" s="141" t="s">
        <v>4335</v>
      </c>
    </row>
    <row r="1997" spans="1:16" ht="25.5">
      <c r="A1997" s="141">
        <v>76807</v>
      </c>
      <c r="B1997" s="141" t="s">
        <v>4325</v>
      </c>
      <c r="C1997" s="142">
        <v>41201</v>
      </c>
      <c r="D1997" s="141">
        <v>396</v>
      </c>
      <c r="E1997" s="141" t="str">
        <f t="shared" si="172"/>
        <v>001</v>
      </c>
      <c r="F1997" s="141" t="s">
        <v>4326</v>
      </c>
      <c r="G1997" s="141" t="str">
        <f t="shared" si="174"/>
        <v>2065</v>
      </c>
      <c r="H1997" s="141" t="s">
        <v>3814</v>
      </c>
      <c r="I1997" s="141" t="str">
        <f t="shared" si="173"/>
        <v>999</v>
      </c>
      <c r="J1997" s="141" t="s">
        <v>4327</v>
      </c>
      <c r="K1997" s="141">
        <v>1055</v>
      </c>
      <c r="L1997" s="141">
        <v>1</v>
      </c>
      <c r="M1997" s="141">
        <v>0</v>
      </c>
      <c r="N1997" s="141">
        <v>9000</v>
      </c>
      <c r="O1997" s="141" t="s">
        <v>4337</v>
      </c>
      <c r="P1997" s="141" t="s">
        <v>4806</v>
      </c>
    </row>
    <row r="1998" spans="1:16" ht="25.5">
      <c r="A1998" s="141">
        <v>76807</v>
      </c>
      <c r="B1998" s="141" t="s">
        <v>4325</v>
      </c>
      <c r="C1998" s="142">
        <v>41201</v>
      </c>
      <c r="D1998" s="141">
        <v>397</v>
      </c>
      <c r="E1998" s="141" t="str">
        <f t="shared" si="172"/>
        <v>001</v>
      </c>
      <c r="F1998" s="141" t="s">
        <v>4326</v>
      </c>
      <c r="G1998" s="141" t="str">
        <f t="shared" ref="G1998:G2003" si="175">"2067"</f>
        <v>2067</v>
      </c>
      <c r="H1998" s="141" t="s">
        <v>4863</v>
      </c>
      <c r="I1998" s="141" t="str">
        <f t="shared" si="173"/>
        <v>999</v>
      </c>
      <c r="J1998" s="141" t="s">
        <v>4327</v>
      </c>
      <c r="K1998" s="141">
        <v>1056</v>
      </c>
      <c r="L1998" s="141">
        <v>6</v>
      </c>
      <c r="M1998" s="141">
        <v>0</v>
      </c>
      <c r="N1998" s="141">
        <v>18000</v>
      </c>
      <c r="O1998" s="141" t="s">
        <v>4357</v>
      </c>
      <c r="P1998" s="141" t="s">
        <v>4340</v>
      </c>
    </row>
    <row r="1999" spans="1:16" ht="25.5">
      <c r="A1999" s="141">
        <v>76807</v>
      </c>
      <c r="B1999" s="141" t="s">
        <v>4325</v>
      </c>
      <c r="C1999" s="142">
        <v>41201</v>
      </c>
      <c r="D1999" s="141">
        <v>397</v>
      </c>
      <c r="E1999" s="141" t="str">
        <f t="shared" si="172"/>
        <v>001</v>
      </c>
      <c r="F1999" s="141" t="s">
        <v>4326</v>
      </c>
      <c r="G1999" s="141" t="str">
        <f t="shared" si="175"/>
        <v>2067</v>
      </c>
      <c r="H1999" s="141" t="s">
        <v>4863</v>
      </c>
      <c r="I1999" s="141" t="str">
        <f t="shared" si="173"/>
        <v>999</v>
      </c>
      <c r="J1999" s="141" t="s">
        <v>4327</v>
      </c>
      <c r="K1999" s="141">
        <v>1057</v>
      </c>
      <c r="L1999" s="141">
        <v>4</v>
      </c>
      <c r="M1999" s="141">
        <v>0</v>
      </c>
      <c r="N1999" s="141">
        <v>2000</v>
      </c>
      <c r="O1999" s="141" t="s">
        <v>4350</v>
      </c>
      <c r="P1999" s="141"/>
    </row>
    <row r="2000" spans="1:16" ht="25.5">
      <c r="A2000" s="141">
        <v>76807</v>
      </c>
      <c r="B2000" s="141" t="s">
        <v>4325</v>
      </c>
      <c r="C2000" s="142">
        <v>41201</v>
      </c>
      <c r="D2000" s="141">
        <v>397</v>
      </c>
      <c r="E2000" s="141" t="str">
        <f t="shared" si="172"/>
        <v>001</v>
      </c>
      <c r="F2000" s="141" t="s">
        <v>4326</v>
      </c>
      <c r="G2000" s="141" t="str">
        <f t="shared" si="175"/>
        <v>2067</v>
      </c>
      <c r="H2000" s="141" t="s">
        <v>4863</v>
      </c>
      <c r="I2000" s="141" t="str">
        <f t="shared" si="173"/>
        <v>999</v>
      </c>
      <c r="J2000" s="141" t="s">
        <v>4327</v>
      </c>
      <c r="K2000" s="141">
        <v>1058</v>
      </c>
      <c r="L2000" s="141">
        <v>6</v>
      </c>
      <c r="M2000" s="141">
        <v>0</v>
      </c>
      <c r="N2000" s="141">
        <v>4000</v>
      </c>
      <c r="O2000" s="141" t="s">
        <v>4343</v>
      </c>
      <c r="P2000" s="141"/>
    </row>
    <row r="2001" spans="1:16" ht="25.5">
      <c r="A2001" s="141">
        <v>76807</v>
      </c>
      <c r="B2001" s="141" t="s">
        <v>4325</v>
      </c>
      <c r="C2001" s="142">
        <v>41201</v>
      </c>
      <c r="D2001" s="141">
        <v>397</v>
      </c>
      <c r="E2001" s="141" t="str">
        <f t="shared" si="172"/>
        <v>001</v>
      </c>
      <c r="F2001" s="141" t="s">
        <v>4326</v>
      </c>
      <c r="G2001" s="141" t="str">
        <f t="shared" si="175"/>
        <v>2067</v>
      </c>
      <c r="H2001" s="141" t="s">
        <v>4863</v>
      </c>
      <c r="I2001" s="141" t="str">
        <f t="shared" si="173"/>
        <v>999</v>
      </c>
      <c r="J2001" s="141" t="s">
        <v>4327</v>
      </c>
      <c r="K2001" s="141">
        <v>1059</v>
      </c>
      <c r="L2001" s="141">
        <v>1</v>
      </c>
      <c r="M2001" s="141">
        <v>0</v>
      </c>
      <c r="N2001" s="141">
        <v>7000</v>
      </c>
      <c r="O2001" s="141" t="s">
        <v>4328</v>
      </c>
      <c r="P2001" s="141" t="s">
        <v>4864</v>
      </c>
    </row>
    <row r="2002" spans="1:16" ht="25.5">
      <c r="A2002" s="141">
        <v>76807</v>
      </c>
      <c r="B2002" s="141" t="s">
        <v>4325</v>
      </c>
      <c r="C2002" s="142">
        <v>41201</v>
      </c>
      <c r="D2002" s="141">
        <v>397</v>
      </c>
      <c r="E2002" s="141" t="str">
        <f t="shared" si="172"/>
        <v>001</v>
      </c>
      <c r="F2002" s="141" t="s">
        <v>4326</v>
      </c>
      <c r="G2002" s="141" t="str">
        <f t="shared" si="175"/>
        <v>2067</v>
      </c>
      <c r="H2002" s="141" t="s">
        <v>4863</v>
      </c>
      <c r="I2002" s="141" t="str">
        <f t="shared" si="173"/>
        <v>999</v>
      </c>
      <c r="J2002" s="141" t="s">
        <v>4327</v>
      </c>
      <c r="K2002" s="141">
        <v>1060</v>
      </c>
      <c r="L2002" s="141">
        <v>1</v>
      </c>
      <c r="M2002" s="141">
        <v>0</v>
      </c>
      <c r="N2002" s="141">
        <v>3000</v>
      </c>
      <c r="O2002" s="141" t="s">
        <v>4353</v>
      </c>
      <c r="P2002" s="141" t="s">
        <v>4354</v>
      </c>
    </row>
    <row r="2003" spans="1:16" ht="25.5">
      <c r="A2003" s="141">
        <v>76807</v>
      </c>
      <c r="B2003" s="141" t="s">
        <v>4325</v>
      </c>
      <c r="C2003" s="142">
        <v>41201</v>
      </c>
      <c r="D2003" s="141">
        <v>397</v>
      </c>
      <c r="E2003" s="141" t="str">
        <f t="shared" si="172"/>
        <v>001</v>
      </c>
      <c r="F2003" s="141" t="s">
        <v>4326</v>
      </c>
      <c r="G2003" s="141" t="str">
        <f t="shared" si="175"/>
        <v>2067</v>
      </c>
      <c r="H2003" s="141" t="s">
        <v>4863</v>
      </c>
      <c r="I2003" s="141" t="str">
        <f t="shared" si="173"/>
        <v>999</v>
      </c>
      <c r="J2003" s="141" t="s">
        <v>4327</v>
      </c>
      <c r="K2003" s="141">
        <v>1061</v>
      </c>
      <c r="L2003" s="141">
        <v>1</v>
      </c>
      <c r="M2003" s="141">
        <v>0</v>
      </c>
      <c r="N2003" s="141">
        <v>3000</v>
      </c>
      <c r="O2003" s="141" t="s">
        <v>4353</v>
      </c>
      <c r="P2003" s="141" t="s">
        <v>4354</v>
      </c>
    </row>
    <row r="2004" spans="1:16" ht="25.5">
      <c r="A2004" s="141">
        <v>76807</v>
      </c>
      <c r="B2004" s="141" t="s">
        <v>4325</v>
      </c>
      <c r="C2004" s="142">
        <v>41201</v>
      </c>
      <c r="D2004" s="141">
        <v>320</v>
      </c>
      <c r="E2004" s="141" t="str">
        <f t="shared" si="172"/>
        <v>001</v>
      </c>
      <c r="F2004" s="141" t="s">
        <v>4326</v>
      </c>
      <c r="G2004" s="141" t="str">
        <f t="shared" ref="G2004:G2043" si="176">"2100"</f>
        <v>2100</v>
      </c>
      <c r="H2004" s="141" t="s">
        <v>1246</v>
      </c>
      <c r="I2004" s="141" t="str">
        <f t="shared" si="173"/>
        <v>999</v>
      </c>
      <c r="J2004" s="141" t="s">
        <v>4327</v>
      </c>
      <c r="K2004" s="141">
        <v>295</v>
      </c>
      <c r="L2004" s="141">
        <v>295</v>
      </c>
      <c r="M2004" s="141">
        <v>0</v>
      </c>
      <c r="N2004" s="141">
        <v>1097000</v>
      </c>
      <c r="O2004" s="141" t="s">
        <v>4339</v>
      </c>
      <c r="P2004" s="141" t="s">
        <v>4385</v>
      </c>
    </row>
    <row r="2005" spans="1:16" ht="25.5">
      <c r="A2005" s="141">
        <v>76807</v>
      </c>
      <c r="B2005" s="141" t="s">
        <v>4325</v>
      </c>
      <c r="C2005" s="142">
        <v>41201</v>
      </c>
      <c r="D2005" s="141">
        <v>320</v>
      </c>
      <c r="E2005" s="141" t="str">
        <f t="shared" si="172"/>
        <v>001</v>
      </c>
      <c r="F2005" s="141" t="s">
        <v>4326</v>
      </c>
      <c r="G2005" s="141" t="str">
        <f t="shared" si="176"/>
        <v>2100</v>
      </c>
      <c r="H2005" s="141" t="s">
        <v>1246</v>
      </c>
      <c r="I2005" s="141" t="str">
        <f t="shared" si="173"/>
        <v>999</v>
      </c>
      <c r="J2005" s="141" t="s">
        <v>4327</v>
      </c>
      <c r="K2005" s="141">
        <v>296</v>
      </c>
      <c r="L2005" s="141">
        <v>16</v>
      </c>
      <c r="M2005" s="141">
        <v>0</v>
      </c>
      <c r="N2005" s="141">
        <v>71000</v>
      </c>
      <c r="O2005" s="141" t="s">
        <v>4334</v>
      </c>
      <c r="P2005" s="141" t="s">
        <v>4335</v>
      </c>
    </row>
    <row r="2006" spans="1:16" ht="25.5">
      <c r="A2006" s="141">
        <v>76807</v>
      </c>
      <c r="B2006" s="141" t="s">
        <v>4325</v>
      </c>
      <c r="C2006" s="142">
        <v>41201</v>
      </c>
      <c r="D2006" s="141">
        <v>320</v>
      </c>
      <c r="E2006" s="141" t="str">
        <f t="shared" si="172"/>
        <v>001</v>
      </c>
      <c r="F2006" s="141" t="s">
        <v>4326</v>
      </c>
      <c r="G2006" s="141" t="str">
        <f t="shared" si="176"/>
        <v>2100</v>
      </c>
      <c r="H2006" s="141" t="s">
        <v>1246</v>
      </c>
      <c r="I2006" s="141" t="str">
        <f t="shared" si="173"/>
        <v>999</v>
      </c>
      <c r="J2006" s="141" t="s">
        <v>4327</v>
      </c>
      <c r="K2006" s="141">
        <v>297</v>
      </c>
      <c r="L2006" s="141">
        <v>5</v>
      </c>
      <c r="M2006" s="141">
        <v>0</v>
      </c>
      <c r="N2006" s="141">
        <v>25000</v>
      </c>
      <c r="O2006" s="141" t="s">
        <v>4865</v>
      </c>
      <c r="P2006" s="141"/>
    </row>
    <row r="2007" spans="1:16" ht="25.5">
      <c r="A2007" s="141">
        <v>76807</v>
      </c>
      <c r="B2007" s="141" t="s">
        <v>4325</v>
      </c>
      <c r="C2007" s="142">
        <v>41201</v>
      </c>
      <c r="D2007" s="141">
        <v>320</v>
      </c>
      <c r="E2007" s="141" t="str">
        <f t="shared" si="172"/>
        <v>001</v>
      </c>
      <c r="F2007" s="141" t="s">
        <v>4326</v>
      </c>
      <c r="G2007" s="141" t="str">
        <f t="shared" si="176"/>
        <v>2100</v>
      </c>
      <c r="H2007" s="141" t="s">
        <v>1246</v>
      </c>
      <c r="I2007" s="141" t="str">
        <f t="shared" si="173"/>
        <v>999</v>
      </c>
      <c r="J2007" s="141" t="s">
        <v>4327</v>
      </c>
      <c r="K2007" s="141">
        <v>298</v>
      </c>
      <c r="L2007" s="141">
        <v>1</v>
      </c>
      <c r="M2007" s="141">
        <v>0</v>
      </c>
      <c r="N2007" s="141">
        <v>79000</v>
      </c>
      <c r="O2007" s="141" t="s">
        <v>4463</v>
      </c>
      <c r="P2007" s="141" t="s">
        <v>4866</v>
      </c>
    </row>
    <row r="2008" spans="1:16" ht="25.5">
      <c r="A2008" s="141">
        <v>76807</v>
      </c>
      <c r="B2008" s="141" t="s">
        <v>4325</v>
      </c>
      <c r="C2008" s="142">
        <v>41201</v>
      </c>
      <c r="D2008" s="141">
        <v>320</v>
      </c>
      <c r="E2008" s="141" t="str">
        <f t="shared" si="172"/>
        <v>001</v>
      </c>
      <c r="F2008" s="141" t="s">
        <v>4326</v>
      </c>
      <c r="G2008" s="141" t="str">
        <f t="shared" si="176"/>
        <v>2100</v>
      </c>
      <c r="H2008" s="141" t="s">
        <v>1246</v>
      </c>
      <c r="I2008" s="141" t="str">
        <f t="shared" si="173"/>
        <v>999</v>
      </c>
      <c r="J2008" s="141" t="s">
        <v>4327</v>
      </c>
      <c r="K2008" s="141">
        <v>299</v>
      </c>
      <c r="L2008" s="141">
        <v>200</v>
      </c>
      <c r="M2008" s="141">
        <v>0</v>
      </c>
      <c r="N2008" s="141">
        <v>442000</v>
      </c>
      <c r="O2008" s="141" t="s">
        <v>4334</v>
      </c>
      <c r="P2008" s="141" t="s">
        <v>4363</v>
      </c>
    </row>
    <row r="2009" spans="1:16" ht="25.5">
      <c r="A2009" s="141">
        <v>76807</v>
      </c>
      <c r="B2009" s="141" t="s">
        <v>4325</v>
      </c>
      <c r="C2009" s="142">
        <v>41201</v>
      </c>
      <c r="D2009" s="141">
        <v>320</v>
      </c>
      <c r="E2009" s="141" t="str">
        <f t="shared" si="172"/>
        <v>001</v>
      </c>
      <c r="F2009" s="141" t="s">
        <v>4326</v>
      </c>
      <c r="G2009" s="141" t="str">
        <f t="shared" si="176"/>
        <v>2100</v>
      </c>
      <c r="H2009" s="141" t="s">
        <v>1246</v>
      </c>
      <c r="I2009" s="141" t="str">
        <f t="shared" si="173"/>
        <v>999</v>
      </c>
      <c r="J2009" s="141" t="s">
        <v>4327</v>
      </c>
      <c r="K2009" s="141">
        <v>300</v>
      </c>
      <c r="L2009" s="141">
        <v>1</v>
      </c>
      <c r="M2009" s="141">
        <v>0</v>
      </c>
      <c r="N2009" s="141">
        <v>3000</v>
      </c>
      <c r="O2009" s="141" t="s">
        <v>4330</v>
      </c>
      <c r="P2009" s="141" t="s">
        <v>4331</v>
      </c>
    </row>
    <row r="2010" spans="1:16" ht="25.5">
      <c r="A2010" s="141">
        <v>76807</v>
      </c>
      <c r="B2010" s="141" t="s">
        <v>4325</v>
      </c>
      <c r="C2010" s="142">
        <v>41201</v>
      </c>
      <c r="D2010" s="141">
        <v>320</v>
      </c>
      <c r="E2010" s="141" t="str">
        <f t="shared" si="172"/>
        <v>001</v>
      </c>
      <c r="F2010" s="141" t="s">
        <v>4326</v>
      </c>
      <c r="G2010" s="141" t="str">
        <f t="shared" si="176"/>
        <v>2100</v>
      </c>
      <c r="H2010" s="141" t="s">
        <v>1246</v>
      </c>
      <c r="I2010" s="141" t="str">
        <f t="shared" si="173"/>
        <v>999</v>
      </c>
      <c r="J2010" s="141" t="s">
        <v>4327</v>
      </c>
      <c r="K2010" s="141">
        <v>301</v>
      </c>
      <c r="L2010" s="141">
        <v>1</v>
      </c>
      <c r="M2010" s="141">
        <v>0</v>
      </c>
      <c r="N2010" s="141">
        <v>3000</v>
      </c>
      <c r="O2010" s="141" t="s">
        <v>4330</v>
      </c>
      <c r="P2010" s="141" t="s">
        <v>4331</v>
      </c>
    </row>
    <row r="2011" spans="1:16" ht="25.5">
      <c r="A2011" s="141">
        <v>76807</v>
      </c>
      <c r="B2011" s="141" t="s">
        <v>4325</v>
      </c>
      <c r="C2011" s="142">
        <v>41201</v>
      </c>
      <c r="D2011" s="141">
        <v>320</v>
      </c>
      <c r="E2011" s="141" t="str">
        <f t="shared" si="172"/>
        <v>001</v>
      </c>
      <c r="F2011" s="141" t="s">
        <v>4326</v>
      </c>
      <c r="G2011" s="141" t="str">
        <f t="shared" si="176"/>
        <v>2100</v>
      </c>
      <c r="H2011" s="141" t="s">
        <v>1246</v>
      </c>
      <c r="I2011" s="141" t="str">
        <f t="shared" si="173"/>
        <v>999</v>
      </c>
      <c r="J2011" s="141" t="s">
        <v>4327</v>
      </c>
      <c r="K2011" s="141">
        <v>302</v>
      </c>
      <c r="L2011" s="141">
        <v>1</v>
      </c>
      <c r="M2011" s="141">
        <v>0</v>
      </c>
      <c r="N2011" s="141">
        <v>3000</v>
      </c>
      <c r="O2011" s="141" t="s">
        <v>4330</v>
      </c>
      <c r="P2011" s="141" t="s">
        <v>4331</v>
      </c>
    </row>
    <row r="2012" spans="1:16" ht="25.5">
      <c r="A2012" s="141">
        <v>76807</v>
      </c>
      <c r="B2012" s="141" t="s">
        <v>4325</v>
      </c>
      <c r="C2012" s="142">
        <v>41201</v>
      </c>
      <c r="D2012" s="141">
        <v>320</v>
      </c>
      <c r="E2012" s="141" t="str">
        <f t="shared" si="172"/>
        <v>001</v>
      </c>
      <c r="F2012" s="141" t="s">
        <v>4326</v>
      </c>
      <c r="G2012" s="141" t="str">
        <f t="shared" si="176"/>
        <v>2100</v>
      </c>
      <c r="H2012" s="141" t="s">
        <v>1246</v>
      </c>
      <c r="I2012" s="141" t="str">
        <f t="shared" si="173"/>
        <v>999</v>
      </c>
      <c r="J2012" s="141" t="s">
        <v>4327</v>
      </c>
      <c r="K2012" s="141">
        <v>303</v>
      </c>
      <c r="L2012" s="141">
        <v>4</v>
      </c>
      <c r="M2012" s="141">
        <v>0</v>
      </c>
      <c r="N2012" s="141">
        <v>25000</v>
      </c>
      <c r="O2012" s="141" t="s">
        <v>4867</v>
      </c>
      <c r="P2012" s="141" t="s">
        <v>4454</v>
      </c>
    </row>
    <row r="2013" spans="1:16" ht="25.5">
      <c r="A2013" s="141">
        <v>76807</v>
      </c>
      <c r="B2013" s="141" t="s">
        <v>4325</v>
      </c>
      <c r="C2013" s="142">
        <v>41201</v>
      </c>
      <c r="D2013" s="141">
        <v>320</v>
      </c>
      <c r="E2013" s="141" t="str">
        <f t="shared" si="172"/>
        <v>001</v>
      </c>
      <c r="F2013" s="141" t="s">
        <v>4326</v>
      </c>
      <c r="G2013" s="141" t="str">
        <f t="shared" si="176"/>
        <v>2100</v>
      </c>
      <c r="H2013" s="141" t="s">
        <v>1246</v>
      </c>
      <c r="I2013" s="141" t="str">
        <f t="shared" si="173"/>
        <v>999</v>
      </c>
      <c r="J2013" s="141" t="s">
        <v>4327</v>
      </c>
      <c r="K2013" s="141">
        <v>304</v>
      </c>
      <c r="L2013" s="141">
        <v>1</v>
      </c>
      <c r="M2013" s="141">
        <v>0</v>
      </c>
      <c r="N2013" s="141">
        <v>49000</v>
      </c>
      <c r="O2013" s="141" t="s">
        <v>4463</v>
      </c>
      <c r="P2013" s="141" t="s">
        <v>4428</v>
      </c>
    </row>
    <row r="2014" spans="1:16" ht="25.5">
      <c r="A2014" s="141">
        <v>76807</v>
      </c>
      <c r="B2014" s="141" t="s">
        <v>4325</v>
      </c>
      <c r="C2014" s="142">
        <v>41201</v>
      </c>
      <c r="D2014" s="141">
        <v>320</v>
      </c>
      <c r="E2014" s="141" t="str">
        <f t="shared" si="172"/>
        <v>001</v>
      </c>
      <c r="F2014" s="141" t="s">
        <v>4326</v>
      </c>
      <c r="G2014" s="141" t="str">
        <f t="shared" si="176"/>
        <v>2100</v>
      </c>
      <c r="H2014" s="141" t="s">
        <v>1246</v>
      </c>
      <c r="I2014" s="141" t="str">
        <f t="shared" si="173"/>
        <v>999</v>
      </c>
      <c r="J2014" s="141" t="s">
        <v>4327</v>
      </c>
      <c r="K2014" s="141">
        <v>305</v>
      </c>
      <c r="L2014" s="141">
        <v>1</v>
      </c>
      <c r="M2014" s="141">
        <v>0</v>
      </c>
      <c r="N2014" s="141">
        <v>16000</v>
      </c>
      <c r="O2014" s="141" t="s">
        <v>4341</v>
      </c>
      <c r="P2014" s="141" t="s">
        <v>4528</v>
      </c>
    </row>
    <row r="2015" spans="1:16" ht="25.5">
      <c r="A2015" s="141">
        <v>76807</v>
      </c>
      <c r="B2015" s="141" t="s">
        <v>4325</v>
      </c>
      <c r="C2015" s="142">
        <v>41201</v>
      </c>
      <c r="D2015" s="141">
        <v>320</v>
      </c>
      <c r="E2015" s="141" t="str">
        <f t="shared" si="172"/>
        <v>001</v>
      </c>
      <c r="F2015" s="141" t="s">
        <v>4326</v>
      </c>
      <c r="G2015" s="141" t="str">
        <f t="shared" si="176"/>
        <v>2100</v>
      </c>
      <c r="H2015" s="141" t="s">
        <v>1246</v>
      </c>
      <c r="I2015" s="141" t="str">
        <f t="shared" si="173"/>
        <v>999</v>
      </c>
      <c r="J2015" s="141" t="s">
        <v>4327</v>
      </c>
      <c r="K2015" s="141">
        <v>306</v>
      </c>
      <c r="L2015" s="141">
        <v>1</v>
      </c>
      <c r="M2015" s="141">
        <v>0</v>
      </c>
      <c r="N2015" s="141">
        <v>2000</v>
      </c>
      <c r="O2015" s="141" t="s">
        <v>4330</v>
      </c>
      <c r="P2015" s="141" t="s">
        <v>4443</v>
      </c>
    </row>
    <row r="2016" spans="1:16" ht="25.5">
      <c r="A2016" s="141">
        <v>76807</v>
      </c>
      <c r="B2016" s="141" t="s">
        <v>4325</v>
      </c>
      <c r="C2016" s="142">
        <v>41201</v>
      </c>
      <c r="D2016" s="141">
        <v>320</v>
      </c>
      <c r="E2016" s="141" t="str">
        <f t="shared" si="172"/>
        <v>001</v>
      </c>
      <c r="F2016" s="141" t="s">
        <v>4326</v>
      </c>
      <c r="G2016" s="141" t="str">
        <f t="shared" si="176"/>
        <v>2100</v>
      </c>
      <c r="H2016" s="141" t="s">
        <v>1246</v>
      </c>
      <c r="I2016" s="141" t="str">
        <f t="shared" si="173"/>
        <v>999</v>
      </c>
      <c r="J2016" s="141" t="s">
        <v>4327</v>
      </c>
      <c r="K2016" s="141">
        <v>307</v>
      </c>
      <c r="L2016" s="141">
        <v>2</v>
      </c>
      <c r="M2016" s="141">
        <v>0</v>
      </c>
      <c r="N2016" s="141">
        <v>83000</v>
      </c>
      <c r="O2016" s="141" t="s">
        <v>4357</v>
      </c>
      <c r="P2016" s="141" t="s">
        <v>4868</v>
      </c>
    </row>
    <row r="2017" spans="1:16" ht="25.5">
      <c r="A2017" s="141">
        <v>76807</v>
      </c>
      <c r="B2017" s="141" t="s">
        <v>4325</v>
      </c>
      <c r="C2017" s="142">
        <v>41201</v>
      </c>
      <c r="D2017" s="141">
        <v>320</v>
      </c>
      <c r="E2017" s="141" t="str">
        <f t="shared" si="172"/>
        <v>001</v>
      </c>
      <c r="F2017" s="141" t="s">
        <v>4326</v>
      </c>
      <c r="G2017" s="141" t="str">
        <f t="shared" si="176"/>
        <v>2100</v>
      </c>
      <c r="H2017" s="141" t="s">
        <v>1246</v>
      </c>
      <c r="I2017" s="141" t="str">
        <f t="shared" si="173"/>
        <v>999</v>
      </c>
      <c r="J2017" s="141" t="s">
        <v>4327</v>
      </c>
      <c r="K2017" s="141">
        <v>308</v>
      </c>
      <c r="L2017" s="141">
        <v>3</v>
      </c>
      <c r="M2017" s="141">
        <v>0</v>
      </c>
      <c r="N2017" s="141">
        <v>149000</v>
      </c>
      <c r="O2017" s="141" t="s">
        <v>4357</v>
      </c>
      <c r="P2017" s="141" t="s">
        <v>4869</v>
      </c>
    </row>
    <row r="2018" spans="1:16" ht="25.5">
      <c r="A2018" s="141">
        <v>76807</v>
      </c>
      <c r="B2018" s="141" t="s">
        <v>4325</v>
      </c>
      <c r="C2018" s="142">
        <v>41201</v>
      </c>
      <c r="D2018" s="141">
        <v>320</v>
      </c>
      <c r="E2018" s="141" t="str">
        <f t="shared" si="172"/>
        <v>001</v>
      </c>
      <c r="F2018" s="141" t="s">
        <v>4326</v>
      </c>
      <c r="G2018" s="141" t="str">
        <f t="shared" si="176"/>
        <v>2100</v>
      </c>
      <c r="H2018" s="141" t="s">
        <v>1246</v>
      </c>
      <c r="I2018" s="141" t="str">
        <f t="shared" si="173"/>
        <v>999</v>
      </c>
      <c r="J2018" s="141" t="s">
        <v>4327</v>
      </c>
      <c r="K2018" s="141">
        <v>309</v>
      </c>
      <c r="L2018" s="141">
        <v>1</v>
      </c>
      <c r="M2018" s="141">
        <v>0</v>
      </c>
      <c r="N2018" s="141">
        <v>53000</v>
      </c>
      <c r="O2018" s="141" t="s">
        <v>4357</v>
      </c>
      <c r="P2018" s="141" t="s">
        <v>4870</v>
      </c>
    </row>
    <row r="2019" spans="1:16" ht="25.5">
      <c r="A2019" s="141">
        <v>76807</v>
      </c>
      <c r="B2019" s="141" t="s">
        <v>4325</v>
      </c>
      <c r="C2019" s="142">
        <v>41201</v>
      </c>
      <c r="D2019" s="141">
        <v>320</v>
      </c>
      <c r="E2019" s="141" t="str">
        <f t="shared" si="172"/>
        <v>001</v>
      </c>
      <c r="F2019" s="141" t="s">
        <v>4326</v>
      </c>
      <c r="G2019" s="141" t="str">
        <f t="shared" si="176"/>
        <v>2100</v>
      </c>
      <c r="H2019" s="141" t="s">
        <v>1246</v>
      </c>
      <c r="I2019" s="141" t="str">
        <f t="shared" si="173"/>
        <v>999</v>
      </c>
      <c r="J2019" s="141" t="s">
        <v>4327</v>
      </c>
      <c r="K2019" s="141">
        <v>310</v>
      </c>
      <c r="L2019" s="141">
        <v>1</v>
      </c>
      <c r="M2019" s="141">
        <v>0</v>
      </c>
      <c r="N2019" s="141">
        <v>120000</v>
      </c>
      <c r="O2019" s="141" t="s">
        <v>4871</v>
      </c>
      <c r="P2019" s="141"/>
    </row>
    <row r="2020" spans="1:16" ht="25.5">
      <c r="A2020" s="141">
        <v>76807</v>
      </c>
      <c r="B2020" s="141" t="s">
        <v>4325</v>
      </c>
      <c r="C2020" s="142">
        <v>41201</v>
      </c>
      <c r="D2020" s="141">
        <v>320</v>
      </c>
      <c r="E2020" s="141" t="str">
        <f t="shared" si="172"/>
        <v>001</v>
      </c>
      <c r="F2020" s="141" t="s">
        <v>4326</v>
      </c>
      <c r="G2020" s="141" t="str">
        <f t="shared" si="176"/>
        <v>2100</v>
      </c>
      <c r="H2020" s="141" t="s">
        <v>1246</v>
      </c>
      <c r="I2020" s="141" t="str">
        <f t="shared" si="173"/>
        <v>999</v>
      </c>
      <c r="J2020" s="141" t="s">
        <v>4327</v>
      </c>
      <c r="K2020" s="141">
        <v>311</v>
      </c>
      <c r="L2020" s="141">
        <v>1</v>
      </c>
      <c r="M2020" s="141">
        <v>0</v>
      </c>
      <c r="N2020" s="141">
        <v>16000</v>
      </c>
      <c r="O2020" s="141" t="s">
        <v>4368</v>
      </c>
      <c r="P2020" s="141"/>
    </row>
    <row r="2021" spans="1:16" ht="25.5">
      <c r="A2021" s="141">
        <v>76807</v>
      </c>
      <c r="B2021" s="141" t="s">
        <v>4325</v>
      </c>
      <c r="C2021" s="142">
        <v>41201</v>
      </c>
      <c r="D2021" s="141">
        <v>320</v>
      </c>
      <c r="E2021" s="141" t="str">
        <f t="shared" si="172"/>
        <v>001</v>
      </c>
      <c r="F2021" s="141" t="s">
        <v>4326</v>
      </c>
      <c r="G2021" s="141" t="str">
        <f t="shared" si="176"/>
        <v>2100</v>
      </c>
      <c r="H2021" s="141" t="s">
        <v>1246</v>
      </c>
      <c r="I2021" s="141" t="str">
        <f t="shared" si="173"/>
        <v>999</v>
      </c>
      <c r="J2021" s="141" t="s">
        <v>4327</v>
      </c>
      <c r="K2021" s="141">
        <v>312</v>
      </c>
      <c r="L2021" s="141">
        <v>17</v>
      </c>
      <c r="M2021" s="141">
        <v>0</v>
      </c>
      <c r="N2021" s="141">
        <v>51000</v>
      </c>
      <c r="O2021" s="141" t="s">
        <v>4334</v>
      </c>
      <c r="P2021" s="141" t="s">
        <v>4340</v>
      </c>
    </row>
    <row r="2022" spans="1:16" ht="25.5">
      <c r="A2022" s="141">
        <v>76807</v>
      </c>
      <c r="B2022" s="141" t="s">
        <v>4325</v>
      </c>
      <c r="C2022" s="142">
        <v>41201</v>
      </c>
      <c r="D2022" s="141">
        <v>320</v>
      </c>
      <c r="E2022" s="141" t="str">
        <f t="shared" si="172"/>
        <v>001</v>
      </c>
      <c r="F2022" s="141" t="s">
        <v>4326</v>
      </c>
      <c r="G2022" s="141" t="str">
        <f t="shared" si="176"/>
        <v>2100</v>
      </c>
      <c r="H2022" s="141" t="s">
        <v>1246</v>
      </c>
      <c r="I2022" s="141" t="str">
        <f t="shared" si="173"/>
        <v>999</v>
      </c>
      <c r="J2022" s="141" t="s">
        <v>4327</v>
      </c>
      <c r="K2022" s="141">
        <v>313</v>
      </c>
      <c r="L2022" s="141">
        <v>8</v>
      </c>
      <c r="M2022" s="141">
        <v>0</v>
      </c>
      <c r="N2022" s="141">
        <v>58000</v>
      </c>
      <c r="O2022" s="141" t="s">
        <v>4334</v>
      </c>
      <c r="P2022" s="141" t="s">
        <v>4605</v>
      </c>
    </row>
    <row r="2023" spans="1:16" ht="25.5">
      <c r="A2023" s="141">
        <v>76807</v>
      </c>
      <c r="B2023" s="141" t="s">
        <v>4325</v>
      </c>
      <c r="C2023" s="142">
        <v>41201</v>
      </c>
      <c r="D2023" s="141">
        <v>320</v>
      </c>
      <c r="E2023" s="141" t="str">
        <f t="shared" si="172"/>
        <v>001</v>
      </c>
      <c r="F2023" s="141" t="s">
        <v>4326</v>
      </c>
      <c r="G2023" s="141" t="str">
        <f t="shared" si="176"/>
        <v>2100</v>
      </c>
      <c r="H2023" s="141" t="s">
        <v>1246</v>
      </c>
      <c r="I2023" s="141" t="str">
        <f t="shared" si="173"/>
        <v>999</v>
      </c>
      <c r="J2023" s="141" t="s">
        <v>4327</v>
      </c>
      <c r="K2023" s="141">
        <v>314</v>
      </c>
      <c r="L2023" s="141">
        <v>7</v>
      </c>
      <c r="M2023" s="141">
        <v>0</v>
      </c>
      <c r="N2023" s="141">
        <v>88000</v>
      </c>
      <c r="O2023" s="141" t="s">
        <v>4357</v>
      </c>
      <c r="P2023" s="141" t="s">
        <v>4419</v>
      </c>
    </row>
    <row r="2024" spans="1:16" ht="25.5">
      <c r="A2024" s="141">
        <v>76807</v>
      </c>
      <c r="B2024" s="141" t="s">
        <v>4325</v>
      </c>
      <c r="C2024" s="142">
        <v>41201</v>
      </c>
      <c r="D2024" s="141">
        <v>320</v>
      </c>
      <c r="E2024" s="141" t="str">
        <f t="shared" si="172"/>
        <v>001</v>
      </c>
      <c r="F2024" s="141" t="s">
        <v>4326</v>
      </c>
      <c r="G2024" s="141" t="str">
        <f t="shared" si="176"/>
        <v>2100</v>
      </c>
      <c r="H2024" s="141" t="s">
        <v>1246</v>
      </c>
      <c r="I2024" s="141" t="str">
        <f t="shared" si="173"/>
        <v>999</v>
      </c>
      <c r="J2024" s="141" t="s">
        <v>4327</v>
      </c>
      <c r="K2024" s="141">
        <v>315</v>
      </c>
      <c r="L2024" s="141">
        <v>1</v>
      </c>
      <c r="M2024" s="141">
        <v>0</v>
      </c>
      <c r="N2024" s="141">
        <v>110000</v>
      </c>
      <c r="O2024" s="141" t="s">
        <v>4872</v>
      </c>
      <c r="P2024" s="141" t="s">
        <v>4873</v>
      </c>
    </row>
    <row r="2025" spans="1:16" ht="25.5">
      <c r="A2025" s="141">
        <v>76807</v>
      </c>
      <c r="B2025" s="141" t="s">
        <v>4325</v>
      </c>
      <c r="C2025" s="142">
        <v>41201</v>
      </c>
      <c r="D2025" s="141">
        <v>320</v>
      </c>
      <c r="E2025" s="141" t="str">
        <f t="shared" si="172"/>
        <v>001</v>
      </c>
      <c r="F2025" s="141" t="s">
        <v>4326</v>
      </c>
      <c r="G2025" s="141" t="str">
        <f t="shared" si="176"/>
        <v>2100</v>
      </c>
      <c r="H2025" s="141" t="s">
        <v>1246</v>
      </c>
      <c r="I2025" s="141" t="str">
        <f t="shared" si="173"/>
        <v>999</v>
      </c>
      <c r="J2025" s="141" t="s">
        <v>4327</v>
      </c>
      <c r="K2025" s="141">
        <v>316</v>
      </c>
      <c r="L2025" s="141">
        <v>1</v>
      </c>
      <c r="M2025" s="141">
        <v>0</v>
      </c>
      <c r="N2025" s="141">
        <v>12000</v>
      </c>
      <c r="O2025" s="141" t="s">
        <v>4872</v>
      </c>
      <c r="P2025" s="141" t="s">
        <v>4874</v>
      </c>
    </row>
    <row r="2026" spans="1:16" ht="25.5">
      <c r="A2026" s="141">
        <v>76807</v>
      </c>
      <c r="B2026" s="141" t="s">
        <v>4325</v>
      </c>
      <c r="C2026" s="142">
        <v>41201</v>
      </c>
      <c r="D2026" s="141">
        <v>320</v>
      </c>
      <c r="E2026" s="141" t="str">
        <f t="shared" si="172"/>
        <v>001</v>
      </c>
      <c r="F2026" s="141" t="s">
        <v>4326</v>
      </c>
      <c r="G2026" s="141" t="str">
        <f t="shared" si="176"/>
        <v>2100</v>
      </c>
      <c r="H2026" s="141" t="s">
        <v>1246</v>
      </c>
      <c r="I2026" s="141" t="str">
        <f t="shared" si="173"/>
        <v>999</v>
      </c>
      <c r="J2026" s="141" t="s">
        <v>4327</v>
      </c>
      <c r="K2026" s="141">
        <v>317</v>
      </c>
      <c r="L2026" s="141">
        <v>1</v>
      </c>
      <c r="M2026" s="141">
        <v>0</v>
      </c>
      <c r="N2026" s="141">
        <v>7000</v>
      </c>
      <c r="O2026" s="141" t="s">
        <v>4434</v>
      </c>
      <c r="P2026" s="141"/>
    </row>
    <row r="2027" spans="1:16" ht="25.5">
      <c r="A2027" s="141">
        <v>76807</v>
      </c>
      <c r="B2027" s="141" t="s">
        <v>4325</v>
      </c>
      <c r="C2027" s="142">
        <v>41201</v>
      </c>
      <c r="D2027" s="141">
        <v>320</v>
      </c>
      <c r="E2027" s="141" t="str">
        <f t="shared" si="172"/>
        <v>001</v>
      </c>
      <c r="F2027" s="141" t="s">
        <v>4326</v>
      </c>
      <c r="G2027" s="141" t="str">
        <f t="shared" si="176"/>
        <v>2100</v>
      </c>
      <c r="H2027" s="141" t="s">
        <v>1246</v>
      </c>
      <c r="I2027" s="141" t="str">
        <f t="shared" si="173"/>
        <v>999</v>
      </c>
      <c r="J2027" s="141" t="s">
        <v>4327</v>
      </c>
      <c r="K2027" s="141">
        <v>318</v>
      </c>
      <c r="L2027" s="141">
        <v>1</v>
      </c>
      <c r="M2027" s="141">
        <v>0</v>
      </c>
      <c r="N2027" s="141">
        <v>65000</v>
      </c>
      <c r="O2027" s="141" t="s">
        <v>4353</v>
      </c>
      <c r="P2027" s="141" t="s">
        <v>4875</v>
      </c>
    </row>
    <row r="2028" spans="1:16" ht="25.5">
      <c r="A2028" s="141">
        <v>76807</v>
      </c>
      <c r="B2028" s="141" t="s">
        <v>4325</v>
      </c>
      <c r="C2028" s="142">
        <v>41201</v>
      </c>
      <c r="D2028" s="141">
        <v>320</v>
      </c>
      <c r="E2028" s="141" t="str">
        <f t="shared" si="172"/>
        <v>001</v>
      </c>
      <c r="F2028" s="141" t="s">
        <v>4326</v>
      </c>
      <c r="G2028" s="141" t="str">
        <f t="shared" si="176"/>
        <v>2100</v>
      </c>
      <c r="H2028" s="141" t="s">
        <v>1246</v>
      </c>
      <c r="I2028" s="141" t="str">
        <f t="shared" si="173"/>
        <v>999</v>
      </c>
      <c r="J2028" s="141" t="s">
        <v>4327</v>
      </c>
      <c r="K2028" s="141">
        <v>319</v>
      </c>
      <c r="L2028" s="141">
        <v>1</v>
      </c>
      <c r="M2028" s="141">
        <v>0</v>
      </c>
      <c r="N2028" s="141">
        <v>65000</v>
      </c>
      <c r="O2028" s="141" t="s">
        <v>4353</v>
      </c>
      <c r="P2028" s="141" t="s">
        <v>4875</v>
      </c>
    </row>
    <row r="2029" spans="1:16" ht="25.5">
      <c r="A2029" s="141">
        <v>76807</v>
      </c>
      <c r="B2029" s="141" t="s">
        <v>4325</v>
      </c>
      <c r="C2029" s="142">
        <v>41201</v>
      </c>
      <c r="D2029" s="141">
        <v>320</v>
      </c>
      <c r="E2029" s="141" t="str">
        <f t="shared" si="172"/>
        <v>001</v>
      </c>
      <c r="F2029" s="141" t="s">
        <v>4326</v>
      </c>
      <c r="G2029" s="141" t="str">
        <f t="shared" si="176"/>
        <v>2100</v>
      </c>
      <c r="H2029" s="141" t="s">
        <v>1246</v>
      </c>
      <c r="I2029" s="141" t="str">
        <f t="shared" si="173"/>
        <v>999</v>
      </c>
      <c r="J2029" s="141" t="s">
        <v>4327</v>
      </c>
      <c r="K2029" s="141">
        <v>320</v>
      </c>
      <c r="L2029" s="141">
        <v>6</v>
      </c>
      <c r="M2029" s="141">
        <v>0</v>
      </c>
      <c r="N2029" s="141">
        <v>304000</v>
      </c>
      <c r="O2029" s="141" t="s">
        <v>4357</v>
      </c>
      <c r="P2029" s="141" t="s">
        <v>4876</v>
      </c>
    </row>
    <row r="2030" spans="1:16" ht="25.5">
      <c r="A2030" s="141">
        <v>76807</v>
      </c>
      <c r="B2030" s="141" t="s">
        <v>4325</v>
      </c>
      <c r="C2030" s="142">
        <v>41201</v>
      </c>
      <c r="D2030" s="141">
        <v>320</v>
      </c>
      <c r="E2030" s="141" t="str">
        <f t="shared" si="172"/>
        <v>001</v>
      </c>
      <c r="F2030" s="141" t="s">
        <v>4326</v>
      </c>
      <c r="G2030" s="141" t="str">
        <f t="shared" si="176"/>
        <v>2100</v>
      </c>
      <c r="H2030" s="141" t="s">
        <v>1246</v>
      </c>
      <c r="I2030" s="141" t="str">
        <f t="shared" si="173"/>
        <v>999</v>
      </c>
      <c r="J2030" s="141" t="s">
        <v>4327</v>
      </c>
      <c r="K2030" s="141">
        <v>321</v>
      </c>
      <c r="L2030" s="141">
        <v>1</v>
      </c>
      <c r="M2030" s="141">
        <v>0</v>
      </c>
      <c r="N2030" s="141">
        <v>24000</v>
      </c>
      <c r="O2030" s="141" t="s">
        <v>4341</v>
      </c>
      <c r="P2030" s="141" t="s">
        <v>4469</v>
      </c>
    </row>
    <row r="2031" spans="1:16" ht="25.5">
      <c r="A2031" s="141">
        <v>76807</v>
      </c>
      <c r="B2031" s="141" t="s">
        <v>4325</v>
      </c>
      <c r="C2031" s="142">
        <v>41201</v>
      </c>
      <c r="D2031" s="141">
        <v>320</v>
      </c>
      <c r="E2031" s="141" t="str">
        <f t="shared" si="172"/>
        <v>001</v>
      </c>
      <c r="F2031" s="141" t="s">
        <v>4326</v>
      </c>
      <c r="G2031" s="141" t="str">
        <f t="shared" si="176"/>
        <v>2100</v>
      </c>
      <c r="H2031" s="141" t="s">
        <v>1246</v>
      </c>
      <c r="I2031" s="141" t="str">
        <f t="shared" si="173"/>
        <v>999</v>
      </c>
      <c r="J2031" s="141" t="s">
        <v>4327</v>
      </c>
      <c r="K2031" s="141">
        <v>322</v>
      </c>
      <c r="L2031" s="141">
        <v>1</v>
      </c>
      <c r="M2031" s="141">
        <v>0</v>
      </c>
      <c r="N2031" s="141">
        <v>138000</v>
      </c>
      <c r="O2031" s="141" t="s">
        <v>4463</v>
      </c>
      <c r="P2031" s="141" t="s">
        <v>4514</v>
      </c>
    </row>
    <row r="2032" spans="1:16" ht="25.5">
      <c r="A2032" s="141">
        <v>76807</v>
      </c>
      <c r="B2032" s="141" t="s">
        <v>4325</v>
      </c>
      <c r="C2032" s="142">
        <v>41201</v>
      </c>
      <c r="D2032" s="141">
        <v>320</v>
      </c>
      <c r="E2032" s="141" t="str">
        <f t="shared" si="172"/>
        <v>001</v>
      </c>
      <c r="F2032" s="141" t="s">
        <v>4326</v>
      </c>
      <c r="G2032" s="141" t="str">
        <f t="shared" si="176"/>
        <v>2100</v>
      </c>
      <c r="H2032" s="141" t="s">
        <v>1246</v>
      </c>
      <c r="I2032" s="141" t="str">
        <f t="shared" si="173"/>
        <v>999</v>
      </c>
      <c r="J2032" s="141" t="s">
        <v>4327</v>
      </c>
      <c r="K2032" s="141">
        <v>323</v>
      </c>
      <c r="L2032" s="141">
        <v>1</v>
      </c>
      <c r="M2032" s="141">
        <v>0</v>
      </c>
      <c r="N2032" s="141">
        <v>72000</v>
      </c>
      <c r="O2032" s="141" t="s">
        <v>4380</v>
      </c>
      <c r="P2032" s="141" t="s">
        <v>4875</v>
      </c>
    </row>
    <row r="2033" spans="1:16" ht="25.5">
      <c r="A2033" s="141">
        <v>76807</v>
      </c>
      <c r="B2033" s="141" t="s">
        <v>4325</v>
      </c>
      <c r="C2033" s="142">
        <v>41201</v>
      </c>
      <c r="D2033" s="141">
        <v>320</v>
      </c>
      <c r="E2033" s="141" t="str">
        <f t="shared" si="172"/>
        <v>001</v>
      </c>
      <c r="F2033" s="141" t="s">
        <v>4326</v>
      </c>
      <c r="G2033" s="141" t="str">
        <f t="shared" si="176"/>
        <v>2100</v>
      </c>
      <c r="H2033" s="141" t="s">
        <v>1246</v>
      </c>
      <c r="I2033" s="141" t="str">
        <f t="shared" si="173"/>
        <v>999</v>
      </c>
      <c r="J2033" s="141" t="s">
        <v>4327</v>
      </c>
      <c r="K2033" s="141">
        <v>324</v>
      </c>
      <c r="L2033" s="141">
        <v>1</v>
      </c>
      <c r="M2033" s="141">
        <v>0</v>
      </c>
      <c r="N2033" s="141">
        <v>72000</v>
      </c>
      <c r="O2033" s="141" t="s">
        <v>4380</v>
      </c>
      <c r="P2033" s="141" t="s">
        <v>4875</v>
      </c>
    </row>
    <row r="2034" spans="1:16" ht="25.5">
      <c r="A2034" s="141">
        <v>76807</v>
      </c>
      <c r="B2034" s="141" t="s">
        <v>4325</v>
      </c>
      <c r="C2034" s="142">
        <v>41201</v>
      </c>
      <c r="D2034" s="141">
        <v>320</v>
      </c>
      <c r="E2034" s="141" t="str">
        <f t="shared" si="172"/>
        <v>001</v>
      </c>
      <c r="F2034" s="141" t="s">
        <v>4326</v>
      </c>
      <c r="G2034" s="141" t="str">
        <f t="shared" si="176"/>
        <v>2100</v>
      </c>
      <c r="H2034" s="141" t="s">
        <v>1246</v>
      </c>
      <c r="I2034" s="141" t="str">
        <f t="shared" si="173"/>
        <v>999</v>
      </c>
      <c r="J2034" s="141" t="s">
        <v>4327</v>
      </c>
      <c r="K2034" s="141">
        <v>325</v>
      </c>
      <c r="L2034" s="141">
        <v>1</v>
      </c>
      <c r="M2034" s="141">
        <v>0</v>
      </c>
      <c r="N2034" s="141">
        <v>72000</v>
      </c>
      <c r="O2034" s="141" t="s">
        <v>4380</v>
      </c>
      <c r="P2034" s="141" t="s">
        <v>4875</v>
      </c>
    </row>
    <row r="2035" spans="1:16" ht="25.5">
      <c r="A2035" s="141">
        <v>76807</v>
      </c>
      <c r="B2035" s="141" t="s">
        <v>4325</v>
      </c>
      <c r="C2035" s="142">
        <v>41201</v>
      </c>
      <c r="D2035" s="141">
        <v>320</v>
      </c>
      <c r="E2035" s="141" t="str">
        <f t="shared" si="172"/>
        <v>001</v>
      </c>
      <c r="F2035" s="141" t="s">
        <v>4326</v>
      </c>
      <c r="G2035" s="141" t="str">
        <f t="shared" si="176"/>
        <v>2100</v>
      </c>
      <c r="H2035" s="141" t="s">
        <v>1246</v>
      </c>
      <c r="I2035" s="141" t="str">
        <f t="shared" si="173"/>
        <v>999</v>
      </c>
      <c r="J2035" s="141" t="s">
        <v>4327</v>
      </c>
      <c r="K2035" s="141">
        <v>326</v>
      </c>
      <c r="L2035" s="141">
        <v>1</v>
      </c>
      <c r="M2035" s="141">
        <v>0</v>
      </c>
      <c r="N2035" s="141">
        <v>2000</v>
      </c>
      <c r="O2035" s="141" t="s">
        <v>4330</v>
      </c>
      <c r="P2035" s="141" t="s">
        <v>4356</v>
      </c>
    </row>
    <row r="2036" spans="1:16" ht="25.5">
      <c r="A2036" s="141">
        <v>76807</v>
      </c>
      <c r="B2036" s="141" t="s">
        <v>4325</v>
      </c>
      <c r="C2036" s="142">
        <v>41201</v>
      </c>
      <c r="D2036" s="141">
        <v>320</v>
      </c>
      <c r="E2036" s="141" t="str">
        <f t="shared" si="172"/>
        <v>001</v>
      </c>
      <c r="F2036" s="141" t="s">
        <v>4326</v>
      </c>
      <c r="G2036" s="141" t="str">
        <f t="shared" si="176"/>
        <v>2100</v>
      </c>
      <c r="H2036" s="141" t="s">
        <v>1246</v>
      </c>
      <c r="I2036" s="141" t="str">
        <f t="shared" si="173"/>
        <v>999</v>
      </c>
      <c r="J2036" s="141" t="s">
        <v>4327</v>
      </c>
      <c r="K2036" s="141">
        <v>327</v>
      </c>
      <c r="L2036" s="141">
        <v>1</v>
      </c>
      <c r="M2036" s="141">
        <v>0</v>
      </c>
      <c r="N2036" s="141">
        <v>2000</v>
      </c>
      <c r="O2036" s="141" t="s">
        <v>4330</v>
      </c>
      <c r="P2036" s="141" t="s">
        <v>4356</v>
      </c>
    </row>
    <row r="2037" spans="1:16" ht="25.5">
      <c r="A2037" s="141">
        <v>76807</v>
      </c>
      <c r="B2037" s="141" t="s">
        <v>4325</v>
      </c>
      <c r="C2037" s="142">
        <v>41201</v>
      </c>
      <c r="D2037" s="141">
        <v>320</v>
      </c>
      <c r="E2037" s="141" t="str">
        <f t="shared" si="172"/>
        <v>001</v>
      </c>
      <c r="F2037" s="141" t="s">
        <v>4326</v>
      </c>
      <c r="G2037" s="141" t="str">
        <f t="shared" si="176"/>
        <v>2100</v>
      </c>
      <c r="H2037" s="141" t="s">
        <v>1246</v>
      </c>
      <c r="I2037" s="141" t="str">
        <f t="shared" si="173"/>
        <v>999</v>
      </c>
      <c r="J2037" s="141" t="s">
        <v>4327</v>
      </c>
      <c r="K2037" s="141">
        <v>328</v>
      </c>
      <c r="L2037" s="141">
        <v>1</v>
      </c>
      <c r="M2037" s="141">
        <v>0</v>
      </c>
      <c r="N2037" s="141">
        <v>2000</v>
      </c>
      <c r="O2037" s="141" t="s">
        <v>4330</v>
      </c>
      <c r="P2037" s="141" t="s">
        <v>4356</v>
      </c>
    </row>
    <row r="2038" spans="1:16" ht="25.5">
      <c r="A2038" s="141">
        <v>76807</v>
      </c>
      <c r="B2038" s="141" t="s">
        <v>4325</v>
      </c>
      <c r="C2038" s="142">
        <v>41201</v>
      </c>
      <c r="D2038" s="141">
        <v>320</v>
      </c>
      <c r="E2038" s="141" t="str">
        <f t="shared" si="172"/>
        <v>001</v>
      </c>
      <c r="F2038" s="141" t="s">
        <v>4326</v>
      </c>
      <c r="G2038" s="141" t="str">
        <f t="shared" si="176"/>
        <v>2100</v>
      </c>
      <c r="H2038" s="141" t="s">
        <v>1246</v>
      </c>
      <c r="I2038" s="141" t="str">
        <f t="shared" si="173"/>
        <v>999</v>
      </c>
      <c r="J2038" s="141" t="s">
        <v>4327</v>
      </c>
      <c r="K2038" s="141">
        <v>329</v>
      </c>
      <c r="L2038" s="141">
        <v>20</v>
      </c>
      <c r="M2038" s="141">
        <v>0</v>
      </c>
      <c r="N2038" s="141">
        <v>75000</v>
      </c>
      <c r="O2038" s="141" t="s">
        <v>4334</v>
      </c>
      <c r="P2038" s="141" t="s">
        <v>4361</v>
      </c>
    </row>
    <row r="2039" spans="1:16" ht="25.5">
      <c r="A2039" s="141">
        <v>76807</v>
      </c>
      <c r="B2039" s="141" t="s">
        <v>4325</v>
      </c>
      <c r="C2039" s="142">
        <v>41201</v>
      </c>
      <c r="D2039" s="141">
        <v>320</v>
      </c>
      <c r="E2039" s="141" t="str">
        <f t="shared" si="172"/>
        <v>001</v>
      </c>
      <c r="F2039" s="141" t="s">
        <v>4326</v>
      </c>
      <c r="G2039" s="141" t="str">
        <f t="shared" si="176"/>
        <v>2100</v>
      </c>
      <c r="H2039" s="141" t="s">
        <v>1246</v>
      </c>
      <c r="I2039" s="141" t="str">
        <f t="shared" si="173"/>
        <v>999</v>
      </c>
      <c r="J2039" s="141" t="s">
        <v>4327</v>
      </c>
      <c r="K2039" s="141">
        <v>330</v>
      </c>
      <c r="L2039" s="141">
        <v>4</v>
      </c>
      <c r="M2039" s="141">
        <v>0</v>
      </c>
      <c r="N2039" s="141">
        <v>15000</v>
      </c>
      <c r="O2039" s="141" t="s">
        <v>4334</v>
      </c>
      <c r="P2039" s="141" t="s">
        <v>4361</v>
      </c>
    </row>
    <row r="2040" spans="1:16" ht="25.5">
      <c r="A2040" s="141">
        <v>76807</v>
      </c>
      <c r="B2040" s="141" t="s">
        <v>4325</v>
      </c>
      <c r="C2040" s="142">
        <v>41201</v>
      </c>
      <c r="D2040" s="141">
        <v>320</v>
      </c>
      <c r="E2040" s="141" t="str">
        <f t="shared" si="172"/>
        <v>001</v>
      </c>
      <c r="F2040" s="141" t="s">
        <v>4326</v>
      </c>
      <c r="G2040" s="141" t="str">
        <f t="shared" si="176"/>
        <v>2100</v>
      </c>
      <c r="H2040" s="141" t="s">
        <v>1246</v>
      </c>
      <c r="I2040" s="141" t="str">
        <f t="shared" si="173"/>
        <v>999</v>
      </c>
      <c r="J2040" s="141" t="s">
        <v>4327</v>
      </c>
      <c r="K2040" s="141">
        <v>331</v>
      </c>
      <c r="L2040" s="141">
        <v>4</v>
      </c>
      <c r="M2040" s="141">
        <v>0</v>
      </c>
      <c r="N2040" s="141">
        <v>21000</v>
      </c>
      <c r="O2040" s="141" t="s">
        <v>4334</v>
      </c>
      <c r="P2040" s="141" t="s">
        <v>4362</v>
      </c>
    </row>
    <row r="2041" spans="1:16" ht="25.5">
      <c r="A2041" s="141">
        <v>76807</v>
      </c>
      <c r="B2041" s="141" t="s">
        <v>4325</v>
      </c>
      <c r="C2041" s="142">
        <v>41201</v>
      </c>
      <c r="D2041" s="141">
        <v>320</v>
      </c>
      <c r="E2041" s="141" t="str">
        <f t="shared" si="172"/>
        <v>001</v>
      </c>
      <c r="F2041" s="141" t="s">
        <v>4326</v>
      </c>
      <c r="G2041" s="141" t="str">
        <f t="shared" si="176"/>
        <v>2100</v>
      </c>
      <c r="H2041" s="141" t="s">
        <v>1246</v>
      </c>
      <c r="I2041" s="141" t="str">
        <f t="shared" si="173"/>
        <v>999</v>
      </c>
      <c r="J2041" s="141" t="s">
        <v>4327</v>
      </c>
      <c r="K2041" s="141">
        <v>332</v>
      </c>
      <c r="L2041" s="141">
        <v>4</v>
      </c>
      <c r="M2041" s="141">
        <v>0</v>
      </c>
      <c r="N2041" s="141">
        <v>55000</v>
      </c>
      <c r="O2041" s="141" t="s">
        <v>4357</v>
      </c>
      <c r="P2041" s="141" t="s">
        <v>4546</v>
      </c>
    </row>
    <row r="2042" spans="1:16" ht="25.5">
      <c r="A2042" s="141">
        <v>76807</v>
      </c>
      <c r="B2042" s="141" t="s">
        <v>4325</v>
      </c>
      <c r="C2042" s="142">
        <v>41201</v>
      </c>
      <c r="D2042" s="141">
        <v>320</v>
      </c>
      <c r="E2042" s="141" t="str">
        <f t="shared" si="172"/>
        <v>001</v>
      </c>
      <c r="F2042" s="141" t="s">
        <v>4326</v>
      </c>
      <c r="G2042" s="141" t="str">
        <f t="shared" si="176"/>
        <v>2100</v>
      </c>
      <c r="H2042" s="141" t="s">
        <v>1246</v>
      </c>
      <c r="I2042" s="141" t="str">
        <f t="shared" si="173"/>
        <v>999</v>
      </c>
      <c r="J2042" s="141" t="s">
        <v>4327</v>
      </c>
      <c r="K2042" s="141">
        <v>333</v>
      </c>
      <c r="L2042" s="141">
        <v>2</v>
      </c>
      <c r="M2042" s="141">
        <v>0</v>
      </c>
      <c r="N2042" s="141">
        <v>27000</v>
      </c>
      <c r="O2042" s="141" t="s">
        <v>4357</v>
      </c>
      <c r="P2042" s="141" t="s">
        <v>4546</v>
      </c>
    </row>
    <row r="2043" spans="1:16" ht="25.5">
      <c r="A2043" s="141">
        <v>76807</v>
      </c>
      <c r="B2043" s="141" t="s">
        <v>4325</v>
      </c>
      <c r="C2043" s="142">
        <v>41201</v>
      </c>
      <c r="D2043" s="141">
        <v>320</v>
      </c>
      <c r="E2043" s="141" t="str">
        <f t="shared" si="172"/>
        <v>001</v>
      </c>
      <c r="F2043" s="141" t="s">
        <v>4326</v>
      </c>
      <c r="G2043" s="141" t="str">
        <f t="shared" si="176"/>
        <v>2100</v>
      </c>
      <c r="H2043" s="141" t="s">
        <v>1246</v>
      </c>
      <c r="I2043" s="141" t="str">
        <f t="shared" si="173"/>
        <v>999</v>
      </c>
      <c r="J2043" s="141" t="s">
        <v>4327</v>
      </c>
      <c r="K2043" s="141">
        <v>334</v>
      </c>
      <c r="L2043" s="141">
        <v>1</v>
      </c>
      <c r="M2043" s="141">
        <v>0</v>
      </c>
      <c r="N2043" s="141">
        <v>42000</v>
      </c>
      <c r="O2043" s="141" t="s">
        <v>4463</v>
      </c>
      <c r="P2043" s="141" t="s">
        <v>4423</v>
      </c>
    </row>
    <row r="2044" spans="1:16" ht="25.5">
      <c r="A2044" s="141">
        <v>76807</v>
      </c>
      <c r="B2044" s="141" t="s">
        <v>4325</v>
      </c>
      <c r="C2044" s="142">
        <v>41201</v>
      </c>
      <c r="D2044" s="141">
        <v>321</v>
      </c>
      <c r="E2044" s="141" t="str">
        <f t="shared" si="172"/>
        <v>001</v>
      </c>
      <c r="F2044" s="141" t="s">
        <v>4326</v>
      </c>
      <c r="G2044" s="141" t="str">
        <f>"2111"</f>
        <v>2111</v>
      </c>
      <c r="H2044" s="141" t="s">
        <v>1247</v>
      </c>
      <c r="I2044" s="141" t="str">
        <f t="shared" si="173"/>
        <v>999</v>
      </c>
      <c r="J2044" s="141" t="s">
        <v>4327</v>
      </c>
      <c r="K2044" s="141">
        <v>335</v>
      </c>
      <c r="L2044" s="141">
        <v>1</v>
      </c>
      <c r="M2044" s="141">
        <v>0</v>
      </c>
      <c r="N2044" s="141">
        <v>3000</v>
      </c>
      <c r="O2044" s="141" t="s">
        <v>4330</v>
      </c>
      <c r="P2044" s="141" t="s">
        <v>4331</v>
      </c>
    </row>
    <row r="2045" spans="1:16" ht="25.5">
      <c r="A2045" s="141">
        <v>76807</v>
      </c>
      <c r="B2045" s="141" t="s">
        <v>4325</v>
      </c>
      <c r="C2045" s="142">
        <v>41201</v>
      </c>
      <c r="D2045" s="141">
        <v>321</v>
      </c>
      <c r="E2045" s="141" t="str">
        <f t="shared" si="172"/>
        <v>001</v>
      </c>
      <c r="F2045" s="141" t="s">
        <v>4326</v>
      </c>
      <c r="G2045" s="141" t="str">
        <f>"2111"</f>
        <v>2111</v>
      </c>
      <c r="H2045" s="141" t="s">
        <v>1247</v>
      </c>
      <c r="I2045" s="141" t="str">
        <f t="shared" si="173"/>
        <v>999</v>
      </c>
      <c r="J2045" s="141" t="s">
        <v>4327</v>
      </c>
      <c r="K2045" s="141">
        <v>336</v>
      </c>
      <c r="L2045" s="141">
        <v>1</v>
      </c>
      <c r="M2045" s="141">
        <v>0</v>
      </c>
      <c r="N2045" s="141">
        <v>3000</v>
      </c>
      <c r="O2045" s="141" t="s">
        <v>4330</v>
      </c>
      <c r="P2045" s="141" t="s">
        <v>4331</v>
      </c>
    </row>
    <row r="2046" spans="1:16" ht="25.5">
      <c r="A2046" s="141">
        <v>76807</v>
      </c>
      <c r="B2046" s="141" t="s">
        <v>4325</v>
      </c>
      <c r="C2046" s="142">
        <v>41201</v>
      </c>
      <c r="D2046" s="141">
        <v>321</v>
      </c>
      <c r="E2046" s="141" t="str">
        <f t="shared" si="172"/>
        <v>001</v>
      </c>
      <c r="F2046" s="141" t="s">
        <v>4326</v>
      </c>
      <c r="G2046" s="141" t="str">
        <f>"2111"</f>
        <v>2111</v>
      </c>
      <c r="H2046" s="141" t="s">
        <v>1247</v>
      </c>
      <c r="I2046" s="141" t="str">
        <f t="shared" si="173"/>
        <v>999</v>
      </c>
      <c r="J2046" s="141" t="s">
        <v>4327</v>
      </c>
      <c r="K2046" s="141">
        <v>337</v>
      </c>
      <c r="L2046" s="141">
        <v>1</v>
      </c>
      <c r="M2046" s="141">
        <v>0</v>
      </c>
      <c r="N2046" s="141">
        <v>4000</v>
      </c>
      <c r="O2046" s="141" t="s">
        <v>4330</v>
      </c>
      <c r="P2046" s="141" t="s">
        <v>4348</v>
      </c>
    </row>
    <row r="2047" spans="1:16" ht="25.5">
      <c r="A2047" s="141">
        <v>76807</v>
      </c>
      <c r="B2047" s="141" t="s">
        <v>4325</v>
      </c>
      <c r="C2047" s="142">
        <v>41201</v>
      </c>
      <c r="D2047" s="141">
        <v>321</v>
      </c>
      <c r="E2047" s="141" t="str">
        <f t="shared" si="172"/>
        <v>001</v>
      </c>
      <c r="F2047" s="141" t="s">
        <v>4326</v>
      </c>
      <c r="G2047" s="141" t="str">
        <f>"2111"</f>
        <v>2111</v>
      </c>
      <c r="H2047" s="141" t="s">
        <v>1247</v>
      </c>
      <c r="I2047" s="141" t="str">
        <f t="shared" si="173"/>
        <v>999</v>
      </c>
      <c r="J2047" s="141" t="s">
        <v>4327</v>
      </c>
      <c r="K2047" s="141">
        <v>338</v>
      </c>
      <c r="L2047" s="141">
        <v>1</v>
      </c>
      <c r="M2047" s="141">
        <v>0</v>
      </c>
      <c r="N2047" s="141">
        <v>10000</v>
      </c>
      <c r="O2047" s="141" t="s">
        <v>4463</v>
      </c>
      <c r="P2047" s="141" t="s">
        <v>4702</v>
      </c>
    </row>
    <row r="2048" spans="1:16" ht="25.5">
      <c r="A2048" s="141">
        <v>76807</v>
      </c>
      <c r="B2048" s="141" t="s">
        <v>4325</v>
      </c>
      <c r="C2048" s="142">
        <v>41201</v>
      </c>
      <c r="D2048" s="141">
        <v>322</v>
      </c>
      <c r="E2048" s="141" t="str">
        <f t="shared" si="172"/>
        <v>001</v>
      </c>
      <c r="F2048" s="141" t="s">
        <v>4326</v>
      </c>
      <c r="G2048" s="141" t="str">
        <f t="shared" ref="G2048:G2060" si="177">"2112"</f>
        <v>2112</v>
      </c>
      <c r="H2048" s="141" t="s">
        <v>1248</v>
      </c>
      <c r="I2048" s="141" t="str">
        <f t="shared" si="173"/>
        <v>999</v>
      </c>
      <c r="J2048" s="141" t="s">
        <v>4327</v>
      </c>
      <c r="K2048" s="141">
        <v>339</v>
      </c>
      <c r="L2048" s="141">
        <v>1</v>
      </c>
      <c r="M2048" s="141">
        <v>0</v>
      </c>
      <c r="N2048" s="141">
        <v>24000</v>
      </c>
      <c r="O2048" s="141" t="s">
        <v>4353</v>
      </c>
      <c r="P2048" s="141" t="s">
        <v>4877</v>
      </c>
    </row>
    <row r="2049" spans="1:16" ht="25.5">
      <c r="A2049" s="141">
        <v>76807</v>
      </c>
      <c r="B2049" s="141" t="s">
        <v>4325</v>
      </c>
      <c r="C2049" s="142">
        <v>41201</v>
      </c>
      <c r="D2049" s="141">
        <v>322</v>
      </c>
      <c r="E2049" s="141" t="str">
        <f t="shared" si="172"/>
        <v>001</v>
      </c>
      <c r="F2049" s="141" t="s">
        <v>4326</v>
      </c>
      <c r="G2049" s="141" t="str">
        <f t="shared" si="177"/>
        <v>2112</v>
      </c>
      <c r="H2049" s="141" t="s">
        <v>1248</v>
      </c>
      <c r="I2049" s="141" t="str">
        <f t="shared" si="173"/>
        <v>999</v>
      </c>
      <c r="J2049" s="141" t="s">
        <v>4327</v>
      </c>
      <c r="K2049" s="141">
        <v>340</v>
      </c>
      <c r="L2049" s="141">
        <v>5</v>
      </c>
      <c r="M2049" s="141">
        <v>0</v>
      </c>
      <c r="N2049" s="141">
        <v>113000</v>
      </c>
      <c r="O2049" s="141" t="s">
        <v>4878</v>
      </c>
      <c r="P2049" s="141"/>
    </row>
    <row r="2050" spans="1:16" ht="25.5">
      <c r="A2050" s="141">
        <v>76807</v>
      </c>
      <c r="B2050" s="141" t="s">
        <v>4325</v>
      </c>
      <c r="C2050" s="142">
        <v>41201</v>
      </c>
      <c r="D2050" s="141">
        <v>322</v>
      </c>
      <c r="E2050" s="141" t="str">
        <f t="shared" ref="E2050:E2113" si="178">"001"</f>
        <v>001</v>
      </c>
      <c r="F2050" s="141" t="s">
        <v>4326</v>
      </c>
      <c r="G2050" s="141" t="str">
        <f t="shared" si="177"/>
        <v>2112</v>
      </c>
      <c r="H2050" s="141" t="s">
        <v>1248</v>
      </c>
      <c r="I2050" s="141" t="str">
        <f t="shared" ref="I2050:I2113" si="179">"999"</f>
        <v>999</v>
      </c>
      <c r="J2050" s="141" t="s">
        <v>4327</v>
      </c>
      <c r="K2050" s="141">
        <v>341</v>
      </c>
      <c r="L2050" s="141">
        <v>1</v>
      </c>
      <c r="M2050" s="141">
        <v>0</v>
      </c>
      <c r="N2050" s="141">
        <v>3000</v>
      </c>
      <c r="O2050" s="141" t="s">
        <v>4404</v>
      </c>
      <c r="P2050" s="141"/>
    </row>
    <row r="2051" spans="1:16" ht="25.5">
      <c r="A2051" s="141">
        <v>76807</v>
      </c>
      <c r="B2051" s="141" t="s">
        <v>4325</v>
      </c>
      <c r="C2051" s="142">
        <v>41201</v>
      </c>
      <c r="D2051" s="141">
        <v>322</v>
      </c>
      <c r="E2051" s="141" t="str">
        <f t="shared" si="178"/>
        <v>001</v>
      </c>
      <c r="F2051" s="141" t="s">
        <v>4326</v>
      </c>
      <c r="G2051" s="141" t="str">
        <f t="shared" si="177"/>
        <v>2112</v>
      </c>
      <c r="H2051" s="141" t="s">
        <v>1248</v>
      </c>
      <c r="I2051" s="141" t="str">
        <f t="shared" si="179"/>
        <v>999</v>
      </c>
      <c r="J2051" s="141" t="s">
        <v>4327</v>
      </c>
      <c r="K2051" s="141">
        <v>342</v>
      </c>
      <c r="L2051" s="141">
        <v>4</v>
      </c>
      <c r="M2051" s="141">
        <v>0</v>
      </c>
      <c r="N2051" s="141">
        <v>1000</v>
      </c>
      <c r="O2051" s="141" t="s">
        <v>4840</v>
      </c>
      <c r="P2051" s="141"/>
    </row>
    <row r="2052" spans="1:16" ht="25.5">
      <c r="A2052" s="141">
        <v>76807</v>
      </c>
      <c r="B2052" s="141" t="s">
        <v>4325</v>
      </c>
      <c r="C2052" s="142">
        <v>41201</v>
      </c>
      <c r="D2052" s="141">
        <v>322</v>
      </c>
      <c r="E2052" s="141" t="str">
        <f t="shared" si="178"/>
        <v>001</v>
      </c>
      <c r="F2052" s="141" t="s">
        <v>4326</v>
      </c>
      <c r="G2052" s="141" t="str">
        <f t="shared" si="177"/>
        <v>2112</v>
      </c>
      <c r="H2052" s="141" t="s">
        <v>1248</v>
      </c>
      <c r="I2052" s="141" t="str">
        <f t="shared" si="179"/>
        <v>999</v>
      </c>
      <c r="J2052" s="141" t="s">
        <v>4327</v>
      </c>
      <c r="K2052" s="141">
        <v>343</v>
      </c>
      <c r="L2052" s="141">
        <v>3</v>
      </c>
      <c r="M2052" s="141">
        <v>0</v>
      </c>
      <c r="N2052" s="141">
        <v>1000</v>
      </c>
      <c r="O2052" s="141" t="s">
        <v>4879</v>
      </c>
      <c r="P2052" s="141"/>
    </row>
    <row r="2053" spans="1:16" ht="25.5">
      <c r="A2053" s="141">
        <v>76807</v>
      </c>
      <c r="B2053" s="141" t="s">
        <v>4325</v>
      </c>
      <c r="C2053" s="142">
        <v>41201</v>
      </c>
      <c r="D2053" s="141">
        <v>322</v>
      </c>
      <c r="E2053" s="141" t="str">
        <f t="shared" si="178"/>
        <v>001</v>
      </c>
      <c r="F2053" s="141" t="s">
        <v>4326</v>
      </c>
      <c r="G2053" s="141" t="str">
        <f t="shared" si="177"/>
        <v>2112</v>
      </c>
      <c r="H2053" s="141" t="s">
        <v>1248</v>
      </c>
      <c r="I2053" s="141" t="str">
        <f t="shared" si="179"/>
        <v>999</v>
      </c>
      <c r="J2053" s="141" t="s">
        <v>4327</v>
      </c>
      <c r="K2053" s="141">
        <v>344</v>
      </c>
      <c r="L2053" s="141">
        <v>1</v>
      </c>
      <c r="M2053" s="141">
        <v>0</v>
      </c>
      <c r="N2053" s="141">
        <v>4000</v>
      </c>
      <c r="O2053" s="141" t="s">
        <v>4535</v>
      </c>
      <c r="P2053" s="141"/>
    </row>
    <row r="2054" spans="1:16" ht="25.5">
      <c r="A2054" s="141">
        <v>76807</v>
      </c>
      <c r="B2054" s="141" t="s">
        <v>4325</v>
      </c>
      <c r="C2054" s="142">
        <v>41201</v>
      </c>
      <c r="D2054" s="141">
        <v>322</v>
      </c>
      <c r="E2054" s="141" t="str">
        <f t="shared" si="178"/>
        <v>001</v>
      </c>
      <c r="F2054" s="141" t="s">
        <v>4326</v>
      </c>
      <c r="G2054" s="141" t="str">
        <f t="shared" si="177"/>
        <v>2112</v>
      </c>
      <c r="H2054" s="141" t="s">
        <v>1248</v>
      </c>
      <c r="I2054" s="141" t="str">
        <f t="shared" si="179"/>
        <v>999</v>
      </c>
      <c r="J2054" s="141" t="s">
        <v>4327</v>
      </c>
      <c r="K2054" s="141">
        <v>345</v>
      </c>
      <c r="L2054" s="141">
        <v>1</v>
      </c>
      <c r="M2054" s="141">
        <v>0</v>
      </c>
      <c r="N2054" s="141">
        <v>20000</v>
      </c>
      <c r="O2054" s="141" t="s">
        <v>4880</v>
      </c>
      <c r="P2054" s="141"/>
    </row>
    <row r="2055" spans="1:16" ht="25.5">
      <c r="A2055" s="141">
        <v>76807</v>
      </c>
      <c r="B2055" s="141" t="s">
        <v>4325</v>
      </c>
      <c r="C2055" s="142">
        <v>41201</v>
      </c>
      <c r="D2055" s="141">
        <v>322</v>
      </c>
      <c r="E2055" s="141" t="str">
        <f t="shared" si="178"/>
        <v>001</v>
      </c>
      <c r="F2055" s="141" t="s">
        <v>4326</v>
      </c>
      <c r="G2055" s="141" t="str">
        <f t="shared" si="177"/>
        <v>2112</v>
      </c>
      <c r="H2055" s="141" t="s">
        <v>1248</v>
      </c>
      <c r="I2055" s="141" t="str">
        <f t="shared" si="179"/>
        <v>999</v>
      </c>
      <c r="J2055" s="141" t="s">
        <v>4327</v>
      </c>
      <c r="K2055" s="141">
        <v>346</v>
      </c>
      <c r="L2055" s="141">
        <v>1</v>
      </c>
      <c r="M2055" s="141">
        <v>0</v>
      </c>
      <c r="N2055" s="141">
        <v>4000</v>
      </c>
      <c r="O2055" s="141" t="s">
        <v>4881</v>
      </c>
      <c r="P2055" s="141" t="s">
        <v>4449</v>
      </c>
    </row>
    <row r="2056" spans="1:16" ht="25.5">
      <c r="A2056" s="141">
        <v>76807</v>
      </c>
      <c r="B2056" s="141" t="s">
        <v>4325</v>
      </c>
      <c r="C2056" s="142">
        <v>41201</v>
      </c>
      <c r="D2056" s="141">
        <v>322</v>
      </c>
      <c r="E2056" s="141" t="str">
        <f t="shared" si="178"/>
        <v>001</v>
      </c>
      <c r="F2056" s="141" t="s">
        <v>4326</v>
      </c>
      <c r="G2056" s="141" t="str">
        <f t="shared" si="177"/>
        <v>2112</v>
      </c>
      <c r="H2056" s="141" t="s">
        <v>1248</v>
      </c>
      <c r="I2056" s="141" t="str">
        <f t="shared" si="179"/>
        <v>999</v>
      </c>
      <c r="J2056" s="141" t="s">
        <v>4327</v>
      </c>
      <c r="K2056" s="141">
        <v>347</v>
      </c>
      <c r="L2056" s="141">
        <v>8</v>
      </c>
      <c r="M2056" s="141">
        <v>0</v>
      </c>
      <c r="N2056" s="141">
        <v>4000</v>
      </c>
      <c r="O2056" s="141" t="s">
        <v>4350</v>
      </c>
      <c r="P2056" s="141"/>
    </row>
    <row r="2057" spans="1:16" ht="25.5">
      <c r="A2057" s="141">
        <v>76807</v>
      </c>
      <c r="B2057" s="141" t="s">
        <v>4325</v>
      </c>
      <c r="C2057" s="142">
        <v>41201</v>
      </c>
      <c r="D2057" s="141">
        <v>322</v>
      </c>
      <c r="E2057" s="141" t="str">
        <f t="shared" si="178"/>
        <v>001</v>
      </c>
      <c r="F2057" s="141" t="s">
        <v>4326</v>
      </c>
      <c r="G2057" s="141" t="str">
        <f t="shared" si="177"/>
        <v>2112</v>
      </c>
      <c r="H2057" s="141" t="s">
        <v>1248</v>
      </c>
      <c r="I2057" s="141" t="str">
        <f t="shared" si="179"/>
        <v>999</v>
      </c>
      <c r="J2057" s="141" t="s">
        <v>4327</v>
      </c>
      <c r="K2057" s="141">
        <v>348</v>
      </c>
      <c r="L2057" s="141">
        <v>1</v>
      </c>
      <c r="M2057" s="141">
        <v>0</v>
      </c>
      <c r="N2057" s="141">
        <v>9000</v>
      </c>
      <c r="O2057" s="141" t="s">
        <v>4328</v>
      </c>
      <c r="P2057" s="141" t="s">
        <v>4423</v>
      </c>
    </row>
    <row r="2058" spans="1:16" ht="25.5">
      <c r="A2058" s="141">
        <v>76807</v>
      </c>
      <c r="B2058" s="141" t="s">
        <v>4325</v>
      </c>
      <c r="C2058" s="142">
        <v>41201</v>
      </c>
      <c r="D2058" s="141">
        <v>322</v>
      </c>
      <c r="E2058" s="141" t="str">
        <f t="shared" si="178"/>
        <v>001</v>
      </c>
      <c r="F2058" s="141" t="s">
        <v>4326</v>
      </c>
      <c r="G2058" s="141" t="str">
        <f t="shared" si="177"/>
        <v>2112</v>
      </c>
      <c r="H2058" s="141" t="s">
        <v>1248</v>
      </c>
      <c r="I2058" s="141" t="str">
        <f t="shared" si="179"/>
        <v>999</v>
      </c>
      <c r="J2058" s="141" t="s">
        <v>4327</v>
      </c>
      <c r="K2058" s="141">
        <v>349</v>
      </c>
      <c r="L2058" s="141">
        <v>1</v>
      </c>
      <c r="M2058" s="141">
        <v>0</v>
      </c>
      <c r="N2058" s="141">
        <v>0</v>
      </c>
      <c r="O2058" s="141" t="s">
        <v>4882</v>
      </c>
      <c r="P2058" s="141"/>
    </row>
    <row r="2059" spans="1:16" ht="25.5">
      <c r="A2059" s="141">
        <v>76807</v>
      </c>
      <c r="B2059" s="141" t="s">
        <v>4325</v>
      </c>
      <c r="C2059" s="142">
        <v>41201</v>
      </c>
      <c r="D2059" s="141">
        <v>322</v>
      </c>
      <c r="E2059" s="141" t="str">
        <f t="shared" si="178"/>
        <v>001</v>
      </c>
      <c r="F2059" s="141" t="s">
        <v>4326</v>
      </c>
      <c r="G2059" s="141" t="str">
        <f t="shared" si="177"/>
        <v>2112</v>
      </c>
      <c r="H2059" s="141" t="s">
        <v>1248</v>
      </c>
      <c r="I2059" s="141" t="str">
        <f t="shared" si="179"/>
        <v>999</v>
      </c>
      <c r="J2059" s="141" t="s">
        <v>4327</v>
      </c>
      <c r="K2059" s="141">
        <v>350</v>
      </c>
      <c r="L2059" s="141">
        <v>1</v>
      </c>
      <c r="M2059" s="141">
        <v>0</v>
      </c>
      <c r="N2059" s="141">
        <v>2000</v>
      </c>
      <c r="O2059" s="141" t="s">
        <v>4446</v>
      </c>
      <c r="P2059" s="141"/>
    </row>
    <row r="2060" spans="1:16" ht="25.5">
      <c r="A2060" s="141">
        <v>76807</v>
      </c>
      <c r="B2060" s="141" t="s">
        <v>4325</v>
      </c>
      <c r="C2060" s="142">
        <v>41201</v>
      </c>
      <c r="D2060" s="141">
        <v>322</v>
      </c>
      <c r="E2060" s="141" t="str">
        <f t="shared" si="178"/>
        <v>001</v>
      </c>
      <c r="F2060" s="141" t="s">
        <v>4326</v>
      </c>
      <c r="G2060" s="141" t="str">
        <f t="shared" si="177"/>
        <v>2112</v>
      </c>
      <c r="H2060" s="141" t="s">
        <v>1248</v>
      </c>
      <c r="I2060" s="141" t="str">
        <f t="shared" si="179"/>
        <v>999</v>
      </c>
      <c r="J2060" s="141" t="s">
        <v>4327</v>
      </c>
      <c r="K2060" s="141">
        <v>351</v>
      </c>
      <c r="L2060" s="141">
        <v>8</v>
      </c>
      <c r="M2060" s="141">
        <v>0</v>
      </c>
      <c r="N2060" s="141">
        <v>6000</v>
      </c>
      <c r="O2060" s="141" t="s">
        <v>4343</v>
      </c>
      <c r="P2060" s="141"/>
    </row>
    <row r="2061" spans="1:16" ht="25.5">
      <c r="A2061" s="141">
        <v>76807</v>
      </c>
      <c r="B2061" s="141" t="s">
        <v>4325</v>
      </c>
      <c r="C2061" s="142">
        <v>41201</v>
      </c>
      <c r="D2061" s="141">
        <v>323</v>
      </c>
      <c r="E2061" s="141" t="str">
        <f t="shared" si="178"/>
        <v>001</v>
      </c>
      <c r="F2061" s="141" t="s">
        <v>4326</v>
      </c>
      <c r="G2061" s="141" t="str">
        <f>"2115"</f>
        <v>2115</v>
      </c>
      <c r="H2061" s="141" t="s">
        <v>677</v>
      </c>
      <c r="I2061" s="141" t="str">
        <f t="shared" si="179"/>
        <v>999</v>
      </c>
      <c r="J2061" s="141" t="s">
        <v>4327</v>
      </c>
      <c r="K2061" s="141">
        <v>352</v>
      </c>
      <c r="L2061" s="141">
        <v>1</v>
      </c>
      <c r="M2061" s="141">
        <v>0</v>
      </c>
      <c r="N2061" s="141">
        <v>3000</v>
      </c>
      <c r="O2061" s="141" t="s">
        <v>4446</v>
      </c>
      <c r="P2061" s="141"/>
    </row>
    <row r="2062" spans="1:16" ht="25.5">
      <c r="A2062" s="141">
        <v>76807</v>
      </c>
      <c r="B2062" s="141" t="s">
        <v>4325</v>
      </c>
      <c r="C2062" s="142">
        <v>41201</v>
      </c>
      <c r="D2062" s="141">
        <v>324</v>
      </c>
      <c r="E2062" s="141" t="str">
        <f t="shared" si="178"/>
        <v>001</v>
      </c>
      <c r="F2062" s="141" t="s">
        <v>4326</v>
      </c>
      <c r="G2062" s="141" t="str">
        <f t="shared" ref="G2062:G2075" si="180">"2116"</f>
        <v>2116</v>
      </c>
      <c r="H2062" s="141" t="s">
        <v>1249</v>
      </c>
      <c r="I2062" s="141" t="str">
        <f t="shared" si="179"/>
        <v>999</v>
      </c>
      <c r="J2062" s="141" t="s">
        <v>4327</v>
      </c>
      <c r="K2062" s="141">
        <v>353</v>
      </c>
      <c r="L2062" s="141">
        <v>25</v>
      </c>
      <c r="M2062" s="141">
        <v>0</v>
      </c>
      <c r="N2062" s="141">
        <v>18000</v>
      </c>
      <c r="O2062" s="141" t="s">
        <v>4343</v>
      </c>
      <c r="P2062" s="141"/>
    </row>
    <row r="2063" spans="1:16" ht="25.5">
      <c r="A2063" s="141">
        <v>76807</v>
      </c>
      <c r="B2063" s="141" t="s">
        <v>4325</v>
      </c>
      <c r="C2063" s="142">
        <v>41201</v>
      </c>
      <c r="D2063" s="141">
        <v>324</v>
      </c>
      <c r="E2063" s="141" t="str">
        <f t="shared" si="178"/>
        <v>001</v>
      </c>
      <c r="F2063" s="141" t="s">
        <v>4326</v>
      </c>
      <c r="G2063" s="141" t="str">
        <f t="shared" si="180"/>
        <v>2116</v>
      </c>
      <c r="H2063" s="141" t="s">
        <v>1249</v>
      </c>
      <c r="I2063" s="141" t="str">
        <f t="shared" si="179"/>
        <v>999</v>
      </c>
      <c r="J2063" s="141" t="s">
        <v>4327</v>
      </c>
      <c r="K2063" s="141">
        <v>354</v>
      </c>
      <c r="L2063" s="141">
        <v>1</v>
      </c>
      <c r="M2063" s="141">
        <v>0</v>
      </c>
      <c r="N2063" s="141">
        <v>4000</v>
      </c>
      <c r="O2063" s="141" t="s">
        <v>4883</v>
      </c>
      <c r="P2063" s="141"/>
    </row>
    <row r="2064" spans="1:16" ht="25.5">
      <c r="A2064" s="141">
        <v>76807</v>
      </c>
      <c r="B2064" s="141" t="s">
        <v>4325</v>
      </c>
      <c r="C2064" s="142">
        <v>41201</v>
      </c>
      <c r="D2064" s="141">
        <v>324</v>
      </c>
      <c r="E2064" s="141" t="str">
        <f t="shared" si="178"/>
        <v>001</v>
      </c>
      <c r="F2064" s="141" t="s">
        <v>4326</v>
      </c>
      <c r="G2064" s="141" t="str">
        <f t="shared" si="180"/>
        <v>2116</v>
      </c>
      <c r="H2064" s="141" t="s">
        <v>1249</v>
      </c>
      <c r="I2064" s="141" t="str">
        <f t="shared" si="179"/>
        <v>999</v>
      </c>
      <c r="J2064" s="141" t="s">
        <v>4327</v>
      </c>
      <c r="K2064" s="141">
        <v>355</v>
      </c>
      <c r="L2064" s="141">
        <v>5</v>
      </c>
      <c r="M2064" s="141">
        <v>0</v>
      </c>
      <c r="N2064" s="141">
        <v>1000</v>
      </c>
      <c r="O2064" s="141" t="s">
        <v>4624</v>
      </c>
      <c r="P2064" s="141"/>
    </row>
    <row r="2065" spans="1:16" ht="25.5">
      <c r="A2065" s="141">
        <v>76807</v>
      </c>
      <c r="B2065" s="141" t="s">
        <v>4325</v>
      </c>
      <c r="C2065" s="142">
        <v>41201</v>
      </c>
      <c r="D2065" s="141">
        <v>324</v>
      </c>
      <c r="E2065" s="141" t="str">
        <f t="shared" si="178"/>
        <v>001</v>
      </c>
      <c r="F2065" s="141" t="s">
        <v>4326</v>
      </c>
      <c r="G2065" s="141" t="str">
        <f t="shared" si="180"/>
        <v>2116</v>
      </c>
      <c r="H2065" s="141" t="s">
        <v>1249</v>
      </c>
      <c r="I2065" s="141" t="str">
        <f t="shared" si="179"/>
        <v>999</v>
      </c>
      <c r="J2065" s="141" t="s">
        <v>4327</v>
      </c>
      <c r="K2065" s="141">
        <v>356</v>
      </c>
      <c r="L2065" s="141">
        <v>1</v>
      </c>
      <c r="M2065" s="141">
        <v>0</v>
      </c>
      <c r="N2065" s="141">
        <v>24000</v>
      </c>
      <c r="O2065" s="141" t="s">
        <v>4399</v>
      </c>
      <c r="P2065" s="141" t="s">
        <v>4520</v>
      </c>
    </row>
    <row r="2066" spans="1:16" ht="25.5">
      <c r="A2066" s="141">
        <v>76807</v>
      </c>
      <c r="B2066" s="141" t="s">
        <v>4325</v>
      </c>
      <c r="C2066" s="142">
        <v>41201</v>
      </c>
      <c r="D2066" s="141">
        <v>324</v>
      </c>
      <c r="E2066" s="141" t="str">
        <f t="shared" si="178"/>
        <v>001</v>
      </c>
      <c r="F2066" s="141" t="s">
        <v>4326</v>
      </c>
      <c r="G2066" s="141" t="str">
        <f t="shared" si="180"/>
        <v>2116</v>
      </c>
      <c r="H2066" s="141" t="s">
        <v>1249</v>
      </c>
      <c r="I2066" s="141" t="str">
        <f t="shared" si="179"/>
        <v>999</v>
      </c>
      <c r="J2066" s="141" t="s">
        <v>4327</v>
      </c>
      <c r="K2066" s="141">
        <v>357</v>
      </c>
      <c r="L2066" s="141">
        <v>1</v>
      </c>
      <c r="M2066" s="141">
        <v>0</v>
      </c>
      <c r="N2066" s="141">
        <v>3000</v>
      </c>
      <c r="O2066" s="141" t="s">
        <v>4434</v>
      </c>
      <c r="P2066" s="141"/>
    </row>
    <row r="2067" spans="1:16" ht="25.5">
      <c r="A2067" s="141">
        <v>76807</v>
      </c>
      <c r="B2067" s="141" t="s">
        <v>4325</v>
      </c>
      <c r="C2067" s="142">
        <v>41201</v>
      </c>
      <c r="D2067" s="141">
        <v>324</v>
      </c>
      <c r="E2067" s="141" t="str">
        <f t="shared" si="178"/>
        <v>001</v>
      </c>
      <c r="F2067" s="141" t="s">
        <v>4326</v>
      </c>
      <c r="G2067" s="141" t="str">
        <f t="shared" si="180"/>
        <v>2116</v>
      </c>
      <c r="H2067" s="141" t="s">
        <v>1249</v>
      </c>
      <c r="I2067" s="141" t="str">
        <f t="shared" si="179"/>
        <v>999</v>
      </c>
      <c r="J2067" s="141" t="s">
        <v>4327</v>
      </c>
      <c r="K2067" s="141">
        <v>358</v>
      </c>
      <c r="L2067" s="141">
        <v>1</v>
      </c>
      <c r="M2067" s="141">
        <v>0</v>
      </c>
      <c r="N2067" s="141">
        <v>47000</v>
      </c>
      <c r="O2067" s="141" t="s">
        <v>4368</v>
      </c>
      <c r="P2067" s="141"/>
    </row>
    <row r="2068" spans="1:16" ht="25.5">
      <c r="A2068" s="141">
        <v>76807</v>
      </c>
      <c r="B2068" s="141" t="s">
        <v>4325</v>
      </c>
      <c r="C2068" s="142">
        <v>41201</v>
      </c>
      <c r="D2068" s="141">
        <v>324</v>
      </c>
      <c r="E2068" s="141" t="str">
        <f t="shared" si="178"/>
        <v>001</v>
      </c>
      <c r="F2068" s="141" t="s">
        <v>4326</v>
      </c>
      <c r="G2068" s="141" t="str">
        <f t="shared" si="180"/>
        <v>2116</v>
      </c>
      <c r="H2068" s="141" t="s">
        <v>1249</v>
      </c>
      <c r="I2068" s="141" t="str">
        <f t="shared" si="179"/>
        <v>999</v>
      </c>
      <c r="J2068" s="141" t="s">
        <v>4327</v>
      </c>
      <c r="K2068" s="141">
        <v>359</v>
      </c>
      <c r="L2068" s="141">
        <v>1</v>
      </c>
      <c r="M2068" s="141">
        <v>0</v>
      </c>
      <c r="N2068" s="141">
        <v>16000</v>
      </c>
      <c r="O2068" s="141" t="s">
        <v>4878</v>
      </c>
      <c r="P2068" s="141" t="s">
        <v>4524</v>
      </c>
    </row>
    <row r="2069" spans="1:16" ht="25.5">
      <c r="A2069" s="141">
        <v>76807</v>
      </c>
      <c r="B2069" s="141" t="s">
        <v>4325</v>
      </c>
      <c r="C2069" s="142">
        <v>41201</v>
      </c>
      <c r="D2069" s="141">
        <v>324</v>
      </c>
      <c r="E2069" s="141" t="str">
        <f t="shared" si="178"/>
        <v>001</v>
      </c>
      <c r="F2069" s="141" t="s">
        <v>4326</v>
      </c>
      <c r="G2069" s="141" t="str">
        <f t="shared" si="180"/>
        <v>2116</v>
      </c>
      <c r="H2069" s="141" t="s">
        <v>1249</v>
      </c>
      <c r="I2069" s="141" t="str">
        <f t="shared" si="179"/>
        <v>999</v>
      </c>
      <c r="J2069" s="141" t="s">
        <v>4327</v>
      </c>
      <c r="K2069" s="141">
        <v>360</v>
      </c>
      <c r="L2069" s="141">
        <v>1</v>
      </c>
      <c r="M2069" s="141">
        <v>0</v>
      </c>
      <c r="N2069" s="141">
        <v>172000</v>
      </c>
      <c r="O2069" s="141" t="s">
        <v>4878</v>
      </c>
      <c r="P2069" s="141" t="s">
        <v>4884</v>
      </c>
    </row>
    <row r="2070" spans="1:16" ht="25.5">
      <c r="A2070" s="141">
        <v>76807</v>
      </c>
      <c r="B2070" s="141" t="s">
        <v>4325</v>
      </c>
      <c r="C2070" s="142">
        <v>41201</v>
      </c>
      <c r="D2070" s="141">
        <v>324</v>
      </c>
      <c r="E2070" s="141" t="str">
        <f t="shared" si="178"/>
        <v>001</v>
      </c>
      <c r="F2070" s="141" t="s">
        <v>4326</v>
      </c>
      <c r="G2070" s="141" t="str">
        <f t="shared" si="180"/>
        <v>2116</v>
      </c>
      <c r="H2070" s="141" t="s">
        <v>1249</v>
      </c>
      <c r="I2070" s="141" t="str">
        <f t="shared" si="179"/>
        <v>999</v>
      </c>
      <c r="J2070" s="141" t="s">
        <v>4327</v>
      </c>
      <c r="K2070" s="141">
        <v>361</v>
      </c>
      <c r="L2070" s="141">
        <v>1</v>
      </c>
      <c r="M2070" s="141">
        <v>0</v>
      </c>
      <c r="N2070" s="141">
        <v>23000</v>
      </c>
      <c r="O2070" s="141" t="s">
        <v>4878</v>
      </c>
      <c r="P2070" s="141" t="s">
        <v>4544</v>
      </c>
    </row>
    <row r="2071" spans="1:16" ht="25.5">
      <c r="A2071" s="141">
        <v>76807</v>
      </c>
      <c r="B2071" s="141" t="s">
        <v>4325</v>
      </c>
      <c r="C2071" s="142">
        <v>41201</v>
      </c>
      <c r="D2071" s="141">
        <v>324</v>
      </c>
      <c r="E2071" s="141" t="str">
        <f t="shared" si="178"/>
        <v>001</v>
      </c>
      <c r="F2071" s="141" t="s">
        <v>4326</v>
      </c>
      <c r="G2071" s="141" t="str">
        <f t="shared" si="180"/>
        <v>2116</v>
      </c>
      <c r="H2071" s="141" t="s">
        <v>1249</v>
      </c>
      <c r="I2071" s="141" t="str">
        <f t="shared" si="179"/>
        <v>999</v>
      </c>
      <c r="J2071" s="141" t="s">
        <v>4327</v>
      </c>
      <c r="K2071" s="141">
        <v>362</v>
      </c>
      <c r="L2071" s="141">
        <v>1</v>
      </c>
      <c r="M2071" s="141">
        <v>0</v>
      </c>
      <c r="N2071" s="141">
        <v>23000</v>
      </c>
      <c r="O2071" s="141" t="s">
        <v>4878</v>
      </c>
      <c r="P2071" s="141" t="s">
        <v>4544</v>
      </c>
    </row>
    <row r="2072" spans="1:16" ht="25.5">
      <c r="A2072" s="141">
        <v>76807</v>
      </c>
      <c r="B2072" s="141" t="s">
        <v>4325</v>
      </c>
      <c r="C2072" s="142">
        <v>41201</v>
      </c>
      <c r="D2072" s="141">
        <v>324</v>
      </c>
      <c r="E2072" s="141" t="str">
        <f t="shared" si="178"/>
        <v>001</v>
      </c>
      <c r="F2072" s="141" t="s">
        <v>4326</v>
      </c>
      <c r="G2072" s="141" t="str">
        <f t="shared" si="180"/>
        <v>2116</v>
      </c>
      <c r="H2072" s="141" t="s">
        <v>1249</v>
      </c>
      <c r="I2072" s="141" t="str">
        <f t="shared" si="179"/>
        <v>999</v>
      </c>
      <c r="J2072" s="141" t="s">
        <v>4327</v>
      </c>
      <c r="K2072" s="141">
        <v>363</v>
      </c>
      <c r="L2072" s="141">
        <v>1</v>
      </c>
      <c r="M2072" s="141">
        <v>0</v>
      </c>
      <c r="N2072" s="141">
        <v>52000</v>
      </c>
      <c r="O2072" s="141" t="s">
        <v>4878</v>
      </c>
      <c r="P2072" s="141" t="s">
        <v>4520</v>
      </c>
    </row>
    <row r="2073" spans="1:16" ht="25.5">
      <c r="A2073" s="141">
        <v>76807</v>
      </c>
      <c r="B2073" s="141" t="s">
        <v>4325</v>
      </c>
      <c r="C2073" s="142">
        <v>41201</v>
      </c>
      <c r="D2073" s="141">
        <v>324</v>
      </c>
      <c r="E2073" s="141" t="str">
        <f t="shared" si="178"/>
        <v>001</v>
      </c>
      <c r="F2073" s="141" t="s">
        <v>4326</v>
      </c>
      <c r="G2073" s="141" t="str">
        <f t="shared" si="180"/>
        <v>2116</v>
      </c>
      <c r="H2073" s="141" t="s">
        <v>1249</v>
      </c>
      <c r="I2073" s="141" t="str">
        <f t="shared" si="179"/>
        <v>999</v>
      </c>
      <c r="J2073" s="141" t="s">
        <v>4327</v>
      </c>
      <c r="K2073" s="141">
        <v>364</v>
      </c>
      <c r="L2073" s="141">
        <v>1</v>
      </c>
      <c r="M2073" s="141">
        <v>0</v>
      </c>
      <c r="N2073" s="141">
        <v>39000</v>
      </c>
      <c r="O2073" s="141" t="s">
        <v>4878</v>
      </c>
      <c r="P2073" s="141" t="s">
        <v>4383</v>
      </c>
    </row>
    <row r="2074" spans="1:16" ht="25.5">
      <c r="A2074" s="141">
        <v>76807</v>
      </c>
      <c r="B2074" s="141" t="s">
        <v>4325</v>
      </c>
      <c r="C2074" s="142">
        <v>41201</v>
      </c>
      <c r="D2074" s="141">
        <v>324</v>
      </c>
      <c r="E2074" s="141" t="str">
        <f t="shared" si="178"/>
        <v>001</v>
      </c>
      <c r="F2074" s="141" t="s">
        <v>4326</v>
      </c>
      <c r="G2074" s="141" t="str">
        <f t="shared" si="180"/>
        <v>2116</v>
      </c>
      <c r="H2074" s="141" t="s">
        <v>1249</v>
      </c>
      <c r="I2074" s="141" t="str">
        <f t="shared" si="179"/>
        <v>999</v>
      </c>
      <c r="J2074" s="141" t="s">
        <v>4327</v>
      </c>
      <c r="K2074" s="141">
        <v>365</v>
      </c>
      <c r="L2074" s="141">
        <v>1</v>
      </c>
      <c r="M2074" s="141">
        <v>0</v>
      </c>
      <c r="N2074" s="141">
        <v>364000</v>
      </c>
      <c r="O2074" s="141" t="s">
        <v>4878</v>
      </c>
      <c r="P2074" s="141" t="s">
        <v>4416</v>
      </c>
    </row>
    <row r="2075" spans="1:16" ht="25.5">
      <c r="A2075" s="141">
        <v>76807</v>
      </c>
      <c r="B2075" s="141" t="s">
        <v>4325</v>
      </c>
      <c r="C2075" s="142">
        <v>41201</v>
      </c>
      <c r="D2075" s="141">
        <v>324</v>
      </c>
      <c r="E2075" s="141" t="str">
        <f t="shared" si="178"/>
        <v>001</v>
      </c>
      <c r="F2075" s="141" t="s">
        <v>4326</v>
      </c>
      <c r="G2075" s="141" t="str">
        <f t="shared" si="180"/>
        <v>2116</v>
      </c>
      <c r="H2075" s="141" t="s">
        <v>1249</v>
      </c>
      <c r="I2075" s="141" t="str">
        <f t="shared" si="179"/>
        <v>999</v>
      </c>
      <c r="J2075" s="141" t="s">
        <v>4327</v>
      </c>
      <c r="K2075" s="141">
        <v>366</v>
      </c>
      <c r="L2075" s="141">
        <v>1</v>
      </c>
      <c r="M2075" s="141">
        <v>0</v>
      </c>
      <c r="N2075" s="141">
        <v>114000</v>
      </c>
      <c r="O2075" s="141" t="s">
        <v>4885</v>
      </c>
      <c r="P2075" s="141" t="s">
        <v>4886</v>
      </c>
    </row>
    <row r="2076" spans="1:16" ht="25.5">
      <c r="A2076" s="141">
        <v>76807</v>
      </c>
      <c r="B2076" s="141" t="s">
        <v>4325</v>
      </c>
      <c r="C2076" s="142">
        <v>41201</v>
      </c>
      <c r="D2076" s="141">
        <v>325</v>
      </c>
      <c r="E2076" s="141" t="str">
        <f t="shared" si="178"/>
        <v>001</v>
      </c>
      <c r="F2076" s="141" t="s">
        <v>4326</v>
      </c>
      <c r="G2076" s="141" t="str">
        <f t="shared" ref="G2076:G2105" si="181">"2117"</f>
        <v>2117</v>
      </c>
      <c r="H2076" s="141" t="s">
        <v>1250</v>
      </c>
      <c r="I2076" s="141" t="str">
        <f t="shared" si="179"/>
        <v>999</v>
      </c>
      <c r="J2076" s="141" t="s">
        <v>4327</v>
      </c>
      <c r="K2076" s="141">
        <v>367</v>
      </c>
      <c r="L2076" s="141">
        <v>1</v>
      </c>
      <c r="M2076" s="141">
        <v>0</v>
      </c>
      <c r="N2076" s="141">
        <v>20000</v>
      </c>
      <c r="O2076" s="141" t="s">
        <v>4353</v>
      </c>
      <c r="P2076" s="141" t="s">
        <v>4823</v>
      </c>
    </row>
    <row r="2077" spans="1:16" ht="25.5">
      <c r="A2077" s="141">
        <v>76807</v>
      </c>
      <c r="B2077" s="141" t="s">
        <v>4325</v>
      </c>
      <c r="C2077" s="142">
        <v>41201</v>
      </c>
      <c r="D2077" s="141">
        <v>325</v>
      </c>
      <c r="E2077" s="141" t="str">
        <f t="shared" si="178"/>
        <v>001</v>
      </c>
      <c r="F2077" s="141" t="s">
        <v>4326</v>
      </c>
      <c r="G2077" s="141" t="str">
        <f t="shared" si="181"/>
        <v>2117</v>
      </c>
      <c r="H2077" s="141" t="s">
        <v>1250</v>
      </c>
      <c r="I2077" s="141" t="str">
        <f t="shared" si="179"/>
        <v>999</v>
      </c>
      <c r="J2077" s="141" t="s">
        <v>4327</v>
      </c>
      <c r="K2077" s="141">
        <v>368</v>
      </c>
      <c r="L2077" s="141">
        <v>1</v>
      </c>
      <c r="M2077" s="141">
        <v>0</v>
      </c>
      <c r="N2077" s="141">
        <v>20000</v>
      </c>
      <c r="O2077" s="141" t="s">
        <v>4353</v>
      </c>
      <c r="P2077" s="141" t="s">
        <v>4823</v>
      </c>
    </row>
    <row r="2078" spans="1:16" ht="25.5">
      <c r="A2078" s="141">
        <v>76807</v>
      </c>
      <c r="B2078" s="141" t="s">
        <v>4325</v>
      </c>
      <c r="C2078" s="142">
        <v>41201</v>
      </c>
      <c r="D2078" s="141">
        <v>325</v>
      </c>
      <c r="E2078" s="141" t="str">
        <f t="shared" si="178"/>
        <v>001</v>
      </c>
      <c r="F2078" s="141" t="s">
        <v>4326</v>
      </c>
      <c r="G2078" s="141" t="str">
        <f t="shared" si="181"/>
        <v>2117</v>
      </c>
      <c r="H2078" s="141" t="s">
        <v>1250</v>
      </c>
      <c r="I2078" s="141" t="str">
        <f t="shared" si="179"/>
        <v>999</v>
      </c>
      <c r="J2078" s="141" t="s">
        <v>4327</v>
      </c>
      <c r="K2078" s="141">
        <v>369</v>
      </c>
      <c r="L2078" s="141">
        <v>4</v>
      </c>
      <c r="M2078" s="141">
        <v>0</v>
      </c>
      <c r="N2078" s="141">
        <v>7000</v>
      </c>
      <c r="O2078" s="141" t="s">
        <v>4685</v>
      </c>
      <c r="P2078" s="141"/>
    </row>
    <row r="2079" spans="1:16" ht="25.5">
      <c r="A2079" s="141">
        <v>76807</v>
      </c>
      <c r="B2079" s="141" t="s">
        <v>4325</v>
      </c>
      <c r="C2079" s="142">
        <v>41201</v>
      </c>
      <c r="D2079" s="141">
        <v>325</v>
      </c>
      <c r="E2079" s="141" t="str">
        <f t="shared" si="178"/>
        <v>001</v>
      </c>
      <c r="F2079" s="141" t="s">
        <v>4326</v>
      </c>
      <c r="G2079" s="141" t="str">
        <f t="shared" si="181"/>
        <v>2117</v>
      </c>
      <c r="H2079" s="141" t="s">
        <v>1250</v>
      </c>
      <c r="I2079" s="141" t="str">
        <f t="shared" si="179"/>
        <v>999</v>
      </c>
      <c r="J2079" s="141" t="s">
        <v>4327</v>
      </c>
      <c r="K2079" s="141">
        <v>370</v>
      </c>
      <c r="L2079" s="141">
        <v>1</v>
      </c>
      <c r="M2079" s="141">
        <v>0</v>
      </c>
      <c r="N2079" s="141">
        <v>37000</v>
      </c>
      <c r="O2079" s="141" t="s">
        <v>4328</v>
      </c>
      <c r="P2079" s="141" t="s">
        <v>4612</v>
      </c>
    </row>
    <row r="2080" spans="1:16" ht="25.5">
      <c r="A2080" s="141">
        <v>76807</v>
      </c>
      <c r="B2080" s="141" t="s">
        <v>4325</v>
      </c>
      <c r="C2080" s="142">
        <v>41201</v>
      </c>
      <c r="D2080" s="141">
        <v>325</v>
      </c>
      <c r="E2080" s="141" t="str">
        <f t="shared" si="178"/>
        <v>001</v>
      </c>
      <c r="F2080" s="141" t="s">
        <v>4326</v>
      </c>
      <c r="G2080" s="141" t="str">
        <f t="shared" si="181"/>
        <v>2117</v>
      </c>
      <c r="H2080" s="141" t="s">
        <v>1250</v>
      </c>
      <c r="I2080" s="141" t="str">
        <f t="shared" si="179"/>
        <v>999</v>
      </c>
      <c r="J2080" s="141" t="s">
        <v>4327</v>
      </c>
      <c r="K2080" s="141">
        <v>371</v>
      </c>
      <c r="L2080" s="141">
        <v>9</v>
      </c>
      <c r="M2080" s="141">
        <v>0</v>
      </c>
      <c r="N2080" s="141">
        <v>110000</v>
      </c>
      <c r="O2080" s="141" t="s">
        <v>4357</v>
      </c>
      <c r="P2080" s="141" t="s">
        <v>4628</v>
      </c>
    </row>
    <row r="2081" spans="1:16" ht="25.5">
      <c r="A2081" s="141">
        <v>76807</v>
      </c>
      <c r="B2081" s="141" t="s">
        <v>4325</v>
      </c>
      <c r="C2081" s="142">
        <v>41201</v>
      </c>
      <c r="D2081" s="141">
        <v>325</v>
      </c>
      <c r="E2081" s="141" t="str">
        <f t="shared" si="178"/>
        <v>001</v>
      </c>
      <c r="F2081" s="141" t="s">
        <v>4326</v>
      </c>
      <c r="G2081" s="141" t="str">
        <f t="shared" si="181"/>
        <v>2117</v>
      </c>
      <c r="H2081" s="141" t="s">
        <v>1250</v>
      </c>
      <c r="I2081" s="141" t="str">
        <f t="shared" si="179"/>
        <v>999</v>
      </c>
      <c r="J2081" s="141" t="s">
        <v>4327</v>
      </c>
      <c r="K2081" s="141">
        <v>372</v>
      </c>
      <c r="L2081" s="141">
        <v>4</v>
      </c>
      <c r="M2081" s="141">
        <v>0</v>
      </c>
      <c r="N2081" s="141">
        <v>60000</v>
      </c>
      <c r="O2081" s="141" t="s">
        <v>4357</v>
      </c>
      <c r="P2081" s="141" t="s">
        <v>4820</v>
      </c>
    </row>
    <row r="2082" spans="1:16" ht="25.5">
      <c r="A2082" s="141">
        <v>76807</v>
      </c>
      <c r="B2082" s="141" t="s">
        <v>4325</v>
      </c>
      <c r="C2082" s="142">
        <v>41201</v>
      </c>
      <c r="D2082" s="141">
        <v>325</v>
      </c>
      <c r="E2082" s="141" t="str">
        <f t="shared" si="178"/>
        <v>001</v>
      </c>
      <c r="F2082" s="141" t="s">
        <v>4326</v>
      </c>
      <c r="G2082" s="141" t="str">
        <f t="shared" si="181"/>
        <v>2117</v>
      </c>
      <c r="H2082" s="141" t="s">
        <v>1250</v>
      </c>
      <c r="I2082" s="141" t="str">
        <f t="shared" si="179"/>
        <v>999</v>
      </c>
      <c r="J2082" s="141" t="s">
        <v>4327</v>
      </c>
      <c r="K2082" s="141">
        <v>373</v>
      </c>
      <c r="L2082" s="141">
        <v>1</v>
      </c>
      <c r="M2082" s="141">
        <v>0</v>
      </c>
      <c r="N2082" s="141">
        <v>8000</v>
      </c>
      <c r="O2082" s="141" t="s">
        <v>4887</v>
      </c>
      <c r="P2082" s="141" t="s">
        <v>4520</v>
      </c>
    </row>
    <row r="2083" spans="1:16" ht="25.5">
      <c r="A2083" s="141">
        <v>76807</v>
      </c>
      <c r="B2083" s="141" t="s">
        <v>4325</v>
      </c>
      <c r="C2083" s="142">
        <v>41201</v>
      </c>
      <c r="D2083" s="141">
        <v>325</v>
      </c>
      <c r="E2083" s="141" t="str">
        <f t="shared" si="178"/>
        <v>001</v>
      </c>
      <c r="F2083" s="141" t="s">
        <v>4326</v>
      </c>
      <c r="G2083" s="141" t="str">
        <f t="shared" si="181"/>
        <v>2117</v>
      </c>
      <c r="H2083" s="141" t="s">
        <v>1250</v>
      </c>
      <c r="I2083" s="141" t="str">
        <f t="shared" si="179"/>
        <v>999</v>
      </c>
      <c r="J2083" s="141" t="s">
        <v>4327</v>
      </c>
      <c r="K2083" s="141">
        <v>374</v>
      </c>
      <c r="L2083" s="141">
        <v>1</v>
      </c>
      <c r="M2083" s="141">
        <v>0</v>
      </c>
      <c r="N2083" s="141">
        <v>4000</v>
      </c>
      <c r="O2083" s="141" t="s">
        <v>4887</v>
      </c>
      <c r="P2083" s="141" t="s">
        <v>4418</v>
      </c>
    </row>
    <row r="2084" spans="1:16" ht="25.5">
      <c r="A2084" s="141">
        <v>76807</v>
      </c>
      <c r="B2084" s="141" t="s">
        <v>4325</v>
      </c>
      <c r="C2084" s="142">
        <v>41201</v>
      </c>
      <c r="D2084" s="141">
        <v>325</v>
      </c>
      <c r="E2084" s="141" t="str">
        <f t="shared" si="178"/>
        <v>001</v>
      </c>
      <c r="F2084" s="141" t="s">
        <v>4326</v>
      </c>
      <c r="G2084" s="141" t="str">
        <f t="shared" si="181"/>
        <v>2117</v>
      </c>
      <c r="H2084" s="141" t="s">
        <v>1250</v>
      </c>
      <c r="I2084" s="141" t="str">
        <f t="shared" si="179"/>
        <v>999</v>
      </c>
      <c r="J2084" s="141" t="s">
        <v>4327</v>
      </c>
      <c r="K2084" s="141">
        <v>375</v>
      </c>
      <c r="L2084" s="141">
        <v>8</v>
      </c>
      <c r="M2084" s="141">
        <v>0</v>
      </c>
      <c r="N2084" s="141">
        <v>90000</v>
      </c>
      <c r="O2084" s="141" t="s">
        <v>4888</v>
      </c>
      <c r="P2084" s="141"/>
    </row>
    <row r="2085" spans="1:16" ht="25.5">
      <c r="A2085" s="141">
        <v>76807</v>
      </c>
      <c r="B2085" s="141" t="s">
        <v>4325</v>
      </c>
      <c r="C2085" s="142">
        <v>41201</v>
      </c>
      <c r="D2085" s="141">
        <v>325</v>
      </c>
      <c r="E2085" s="141" t="str">
        <f t="shared" si="178"/>
        <v>001</v>
      </c>
      <c r="F2085" s="141" t="s">
        <v>4326</v>
      </c>
      <c r="G2085" s="141" t="str">
        <f t="shared" si="181"/>
        <v>2117</v>
      </c>
      <c r="H2085" s="141" t="s">
        <v>1250</v>
      </c>
      <c r="I2085" s="141" t="str">
        <f t="shared" si="179"/>
        <v>999</v>
      </c>
      <c r="J2085" s="141" t="s">
        <v>4327</v>
      </c>
      <c r="K2085" s="141">
        <v>376</v>
      </c>
      <c r="L2085" s="141">
        <v>1</v>
      </c>
      <c r="M2085" s="141">
        <v>0</v>
      </c>
      <c r="N2085" s="141">
        <v>11000</v>
      </c>
      <c r="O2085" s="141" t="s">
        <v>4550</v>
      </c>
      <c r="P2085" s="141" t="s">
        <v>4889</v>
      </c>
    </row>
    <row r="2086" spans="1:16" ht="25.5">
      <c r="A2086" s="141">
        <v>76807</v>
      </c>
      <c r="B2086" s="141" t="s">
        <v>4325</v>
      </c>
      <c r="C2086" s="142">
        <v>41201</v>
      </c>
      <c r="D2086" s="141">
        <v>325</v>
      </c>
      <c r="E2086" s="141" t="str">
        <f t="shared" si="178"/>
        <v>001</v>
      </c>
      <c r="F2086" s="141" t="s">
        <v>4326</v>
      </c>
      <c r="G2086" s="141" t="str">
        <f t="shared" si="181"/>
        <v>2117</v>
      </c>
      <c r="H2086" s="141" t="s">
        <v>1250</v>
      </c>
      <c r="I2086" s="141" t="str">
        <f t="shared" si="179"/>
        <v>999</v>
      </c>
      <c r="J2086" s="141" t="s">
        <v>4327</v>
      </c>
      <c r="K2086" s="141">
        <v>377</v>
      </c>
      <c r="L2086" s="141">
        <v>1</v>
      </c>
      <c r="M2086" s="141">
        <v>0</v>
      </c>
      <c r="N2086" s="141">
        <v>11000</v>
      </c>
      <c r="O2086" s="141" t="s">
        <v>4550</v>
      </c>
      <c r="P2086" s="141" t="s">
        <v>4889</v>
      </c>
    </row>
    <row r="2087" spans="1:16" ht="25.5">
      <c r="A2087" s="141">
        <v>76807</v>
      </c>
      <c r="B2087" s="141" t="s">
        <v>4325</v>
      </c>
      <c r="C2087" s="142">
        <v>41201</v>
      </c>
      <c r="D2087" s="141">
        <v>325</v>
      </c>
      <c r="E2087" s="141" t="str">
        <f t="shared" si="178"/>
        <v>001</v>
      </c>
      <c r="F2087" s="141" t="s">
        <v>4326</v>
      </c>
      <c r="G2087" s="141" t="str">
        <f t="shared" si="181"/>
        <v>2117</v>
      </c>
      <c r="H2087" s="141" t="s">
        <v>1250</v>
      </c>
      <c r="I2087" s="141" t="str">
        <f t="shared" si="179"/>
        <v>999</v>
      </c>
      <c r="J2087" s="141" t="s">
        <v>4327</v>
      </c>
      <c r="K2087" s="141">
        <v>378</v>
      </c>
      <c r="L2087" s="141">
        <v>1</v>
      </c>
      <c r="M2087" s="141">
        <v>0</v>
      </c>
      <c r="N2087" s="141">
        <v>11000</v>
      </c>
      <c r="O2087" s="141" t="s">
        <v>4550</v>
      </c>
      <c r="P2087" s="141" t="s">
        <v>4889</v>
      </c>
    </row>
    <row r="2088" spans="1:16" ht="25.5">
      <c r="A2088" s="141">
        <v>76807</v>
      </c>
      <c r="B2088" s="141" t="s">
        <v>4325</v>
      </c>
      <c r="C2088" s="142">
        <v>41201</v>
      </c>
      <c r="D2088" s="141">
        <v>325</v>
      </c>
      <c r="E2088" s="141" t="str">
        <f t="shared" si="178"/>
        <v>001</v>
      </c>
      <c r="F2088" s="141" t="s">
        <v>4326</v>
      </c>
      <c r="G2088" s="141" t="str">
        <f t="shared" si="181"/>
        <v>2117</v>
      </c>
      <c r="H2088" s="141" t="s">
        <v>1250</v>
      </c>
      <c r="I2088" s="141" t="str">
        <f t="shared" si="179"/>
        <v>999</v>
      </c>
      <c r="J2088" s="141" t="s">
        <v>4327</v>
      </c>
      <c r="K2088" s="141">
        <v>379</v>
      </c>
      <c r="L2088" s="141">
        <v>1</v>
      </c>
      <c r="M2088" s="141">
        <v>0</v>
      </c>
      <c r="N2088" s="141">
        <v>11000</v>
      </c>
      <c r="O2088" s="141" t="s">
        <v>4550</v>
      </c>
      <c r="P2088" s="141" t="s">
        <v>4889</v>
      </c>
    </row>
    <row r="2089" spans="1:16" ht="25.5">
      <c r="A2089" s="141">
        <v>76807</v>
      </c>
      <c r="B2089" s="141" t="s">
        <v>4325</v>
      </c>
      <c r="C2089" s="142">
        <v>41201</v>
      </c>
      <c r="D2089" s="141">
        <v>325</v>
      </c>
      <c r="E2089" s="141" t="str">
        <f t="shared" si="178"/>
        <v>001</v>
      </c>
      <c r="F2089" s="141" t="s">
        <v>4326</v>
      </c>
      <c r="G2089" s="141" t="str">
        <f t="shared" si="181"/>
        <v>2117</v>
      </c>
      <c r="H2089" s="141" t="s">
        <v>1250</v>
      </c>
      <c r="I2089" s="141" t="str">
        <f t="shared" si="179"/>
        <v>999</v>
      </c>
      <c r="J2089" s="141" t="s">
        <v>4327</v>
      </c>
      <c r="K2089" s="141">
        <v>380</v>
      </c>
      <c r="L2089" s="141">
        <v>1</v>
      </c>
      <c r="M2089" s="141">
        <v>0</v>
      </c>
      <c r="N2089" s="141">
        <v>11000</v>
      </c>
      <c r="O2089" s="141" t="s">
        <v>4550</v>
      </c>
      <c r="P2089" s="141" t="s">
        <v>4889</v>
      </c>
    </row>
    <row r="2090" spans="1:16" ht="25.5">
      <c r="A2090" s="141">
        <v>76807</v>
      </c>
      <c r="B2090" s="141" t="s">
        <v>4325</v>
      </c>
      <c r="C2090" s="142">
        <v>41201</v>
      </c>
      <c r="D2090" s="141">
        <v>325</v>
      </c>
      <c r="E2090" s="141" t="str">
        <f t="shared" si="178"/>
        <v>001</v>
      </c>
      <c r="F2090" s="141" t="s">
        <v>4326</v>
      </c>
      <c r="G2090" s="141" t="str">
        <f t="shared" si="181"/>
        <v>2117</v>
      </c>
      <c r="H2090" s="141" t="s">
        <v>1250</v>
      </c>
      <c r="I2090" s="141" t="str">
        <f t="shared" si="179"/>
        <v>999</v>
      </c>
      <c r="J2090" s="141" t="s">
        <v>4327</v>
      </c>
      <c r="K2090" s="141">
        <v>381</v>
      </c>
      <c r="L2090" s="141">
        <v>1</v>
      </c>
      <c r="M2090" s="141">
        <v>0</v>
      </c>
      <c r="N2090" s="141">
        <v>11000</v>
      </c>
      <c r="O2090" s="141" t="s">
        <v>4550</v>
      </c>
      <c r="P2090" s="141" t="s">
        <v>4889</v>
      </c>
    </row>
    <row r="2091" spans="1:16" ht="25.5">
      <c r="A2091" s="141">
        <v>76807</v>
      </c>
      <c r="B2091" s="141" t="s">
        <v>4325</v>
      </c>
      <c r="C2091" s="142">
        <v>41201</v>
      </c>
      <c r="D2091" s="141">
        <v>325</v>
      </c>
      <c r="E2091" s="141" t="str">
        <f t="shared" si="178"/>
        <v>001</v>
      </c>
      <c r="F2091" s="141" t="s">
        <v>4326</v>
      </c>
      <c r="G2091" s="141" t="str">
        <f t="shared" si="181"/>
        <v>2117</v>
      </c>
      <c r="H2091" s="141" t="s">
        <v>1250</v>
      </c>
      <c r="I2091" s="141" t="str">
        <f t="shared" si="179"/>
        <v>999</v>
      </c>
      <c r="J2091" s="141" t="s">
        <v>4327</v>
      </c>
      <c r="K2091" s="141">
        <v>382</v>
      </c>
      <c r="L2091" s="141">
        <v>1</v>
      </c>
      <c r="M2091" s="141">
        <v>0</v>
      </c>
      <c r="N2091" s="141">
        <v>11000</v>
      </c>
      <c r="O2091" s="141" t="s">
        <v>4550</v>
      </c>
      <c r="P2091" s="141" t="s">
        <v>4889</v>
      </c>
    </row>
    <row r="2092" spans="1:16" ht="25.5">
      <c r="A2092" s="141">
        <v>76807</v>
      </c>
      <c r="B2092" s="141" t="s">
        <v>4325</v>
      </c>
      <c r="C2092" s="142">
        <v>41201</v>
      </c>
      <c r="D2092" s="141">
        <v>325</v>
      </c>
      <c r="E2092" s="141" t="str">
        <f t="shared" si="178"/>
        <v>001</v>
      </c>
      <c r="F2092" s="141" t="s">
        <v>4326</v>
      </c>
      <c r="G2092" s="141" t="str">
        <f t="shared" si="181"/>
        <v>2117</v>
      </c>
      <c r="H2092" s="141" t="s">
        <v>1250</v>
      </c>
      <c r="I2092" s="141" t="str">
        <f t="shared" si="179"/>
        <v>999</v>
      </c>
      <c r="J2092" s="141" t="s">
        <v>4327</v>
      </c>
      <c r="K2092" s="141">
        <v>383</v>
      </c>
      <c r="L2092" s="141">
        <v>1</v>
      </c>
      <c r="M2092" s="141">
        <v>0</v>
      </c>
      <c r="N2092" s="141">
        <v>11000</v>
      </c>
      <c r="O2092" s="141" t="s">
        <v>4550</v>
      </c>
      <c r="P2092" s="141" t="s">
        <v>4889</v>
      </c>
    </row>
    <row r="2093" spans="1:16" ht="25.5">
      <c r="A2093" s="141">
        <v>76807</v>
      </c>
      <c r="B2093" s="141" t="s">
        <v>4325</v>
      </c>
      <c r="C2093" s="142">
        <v>41201</v>
      </c>
      <c r="D2093" s="141">
        <v>325</v>
      </c>
      <c r="E2093" s="141" t="str">
        <f t="shared" si="178"/>
        <v>001</v>
      </c>
      <c r="F2093" s="141" t="s">
        <v>4326</v>
      </c>
      <c r="G2093" s="141" t="str">
        <f t="shared" si="181"/>
        <v>2117</v>
      </c>
      <c r="H2093" s="141" t="s">
        <v>1250</v>
      </c>
      <c r="I2093" s="141" t="str">
        <f t="shared" si="179"/>
        <v>999</v>
      </c>
      <c r="J2093" s="141" t="s">
        <v>4327</v>
      </c>
      <c r="K2093" s="141">
        <v>384</v>
      </c>
      <c r="L2093" s="141">
        <v>1</v>
      </c>
      <c r="M2093" s="141">
        <v>0</v>
      </c>
      <c r="N2093" s="141">
        <v>11000</v>
      </c>
      <c r="O2093" s="141" t="s">
        <v>4550</v>
      </c>
      <c r="P2093" s="141" t="s">
        <v>4889</v>
      </c>
    </row>
    <row r="2094" spans="1:16" ht="25.5">
      <c r="A2094" s="141">
        <v>76807</v>
      </c>
      <c r="B2094" s="141" t="s">
        <v>4325</v>
      </c>
      <c r="C2094" s="142">
        <v>41201</v>
      </c>
      <c r="D2094" s="141">
        <v>325</v>
      </c>
      <c r="E2094" s="141" t="str">
        <f t="shared" si="178"/>
        <v>001</v>
      </c>
      <c r="F2094" s="141" t="s">
        <v>4326</v>
      </c>
      <c r="G2094" s="141" t="str">
        <f t="shared" si="181"/>
        <v>2117</v>
      </c>
      <c r="H2094" s="141" t="s">
        <v>1250</v>
      </c>
      <c r="I2094" s="141" t="str">
        <f t="shared" si="179"/>
        <v>999</v>
      </c>
      <c r="J2094" s="141" t="s">
        <v>4327</v>
      </c>
      <c r="K2094" s="141">
        <v>385</v>
      </c>
      <c r="L2094" s="141">
        <v>4</v>
      </c>
      <c r="M2094" s="141">
        <v>0</v>
      </c>
      <c r="N2094" s="141">
        <v>26000</v>
      </c>
      <c r="O2094" s="141" t="s">
        <v>4407</v>
      </c>
      <c r="P2094" s="141"/>
    </row>
    <row r="2095" spans="1:16" ht="25.5">
      <c r="A2095" s="141">
        <v>76807</v>
      </c>
      <c r="B2095" s="141" t="s">
        <v>4325</v>
      </c>
      <c r="C2095" s="142">
        <v>41201</v>
      </c>
      <c r="D2095" s="141">
        <v>325</v>
      </c>
      <c r="E2095" s="141" t="str">
        <f t="shared" si="178"/>
        <v>001</v>
      </c>
      <c r="F2095" s="141" t="s">
        <v>4326</v>
      </c>
      <c r="G2095" s="141" t="str">
        <f t="shared" si="181"/>
        <v>2117</v>
      </c>
      <c r="H2095" s="141" t="s">
        <v>1250</v>
      </c>
      <c r="I2095" s="141" t="str">
        <f t="shared" si="179"/>
        <v>999</v>
      </c>
      <c r="J2095" s="141" t="s">
        <v>4327</v>
      </c>
      <c r="K2095" s="141">
        <v>386</v>
      </c>
      <c r="L2095" s="141">
        <v>1</v>
      </c>
      <c r="M2095" s="141">
        <v>0</v>
      </c>
      <c r="N2095" s="141">
        <v>14000</v>
      </c>
      <c r="O2095" s="141" t="s">
        <v>4357</v>
      </c>
      <c r="P2095" s="141" t="s">
        <v>4546</v>
      </c>
    </row>
    <row r="2096" spans="1:16" ht="25.5">
      <c r="A2096" s="141">
        <v>76807</v>
      </c>
      <c r="B2096" s="141" t="s">
        <v>4325</v>
      </c>
      <c r="C2096" s="142">
        <v>41201</v>
      </c>
      <c r="D2096" s="141">
        <v>325</v>
      </c>
      <c r="E2096" s="141" t="str">
        <f t="shared" si="178"/>
        <v>001</v>
      </c>
      <c r="F2096" s="141" t="s">
        <v>4326</v>
      </c>
      <c r="G2096" s="141" t="str">
        <f t="shared" si="181"/>
        <v>2117</v>
      </c>
      <c r="H2096" s="141" t="s">
        <v>1250</v>
      </c>
      <c r="I2096" s="141" t="str">
        <f t="shared" si="179"/>
        <v>999</v>
      </c>
      <c r="J2096" s="141" t="s">
        <v>4327</v>
      </c>
      <c r="K2096" s="141">
        <v>387</v>
      </c>
      <c r="L2096" s="141">
        <v>1</v>
      </c>
      <c r="M2096" s="141">
        <v>0</v>
      </c>
      <c r="N2096" s="141">
        <v>9000</v>
      </c>
      <c r="O2096" s="141" t="s">
        <v>4357</v>
      </c>
      <c r="P2096" s="141" t="s">
        <v>4548</v>
      </c>
    </row>
    <row r="2097" spans="1:16" ht="25.5">
      <c r="A2097" s="141">
        <v>76807</v>
      </c>
      <c r="B2097" s="141" t="s">
        <v>4325</v>
      </c>
      <c r="C2097" s="142">
        <v>41201</v>
      </c>
      <c r="D2097" s="141">
        <v>325</v>
      </c>
      <c r="E2097" s="141" t="str">
        <f t="shared" si="178"/>
        <v>001</v>
      </c>
      <c r="F2097" s="141" t="s">
        <v>4326</v>
      </c>
      <c r="G2097" s="141" t="str">
        <f t="shared" si="181"/>
        <v>2117</v>
      </c>
      <c r="H2097" s="141" t="s">
        <v>1250</v>
      </c>
      <c r="I2097" s="141" t="str">
        <f t="shared" si="179"/>
        <v>999</v>
      </c>
      <c r="J2097" s="141" t="s">
        <v>4327</v>
      </c>
      <c r="K2097" s="141">
        <v>388</v>
      </c>
      <c r="L2097" s="141">
        <v>1</v>
      </c>
      <c r="M2097" s="141">
        <v>0</v>
      </c>
      <c r="N2097" s="141">
        <v>2000</v>
      </c>
      <c r="O2097" s="141" t="s">
        <v>4330</v>
      </c>
      <c r="P2097" s="141" t="s">
        <v>4443</v>
      </c>
    </row>
    <row r="2098" spans="1:16" ht="25.5">
      <c r="A2098" s="141">
        <v>76807</v>
      </c>
      <c r="B2098" s="141" t="s">
        <v>4325</v>
      </c>
      <c r="C2098" s="142">
        <v>41201</v>
      </c>
      <c r="D2098" s="141">
        <v>325</v>
      </c>
      <c r="E2098" s="141" t="str">
        <f t="shared" si="178"/>
        <v>001</v>
      </c>
      <c r="F2098" s="141" t="s">
        <v>4326</v>
      </c>
      <c r="G2098" s="141" t="str">
        <f t="shared" si="181"/>
        <v>2117</v>
      </c>
      <c r="H2098" s="141" t="s">
        <v>1250</v>
      </c>
      <c r="I2098" s="141" t="str">
        <f t="shared" si="179"/>
        <v>999</v>
      </c>
      <c r="J2098" s="141" t="s">
        <v>4327</v>
      </c>
      <c r="K2098" s="141">
        <v>389</v>
      </c>
      <c r="L2098" s="141">
        <v>50</v>
      </c>
      <c r="M2098" s="141">
        <v>0</v>
      </c>
      <c r="N2098" s="141">
        <v>174000</v>
      </c>
      <c r="O2098" s="141" t="s">
        <v>4357</v>
      </c>
      <c r="P2098" s="141" t="s">
        <v>4340</v>
      </c>
    </row>
    <row r="2099" spans="1:16" ht="25.5">
      <c r="A2099" s="141">
        <v>76807</v>
      </c>
      <c r="B2099" s="141" t="s">
        <v>4325</v>
      </c>
      <c r="C2099" s="142">
        <v>41201</v>
      </c>
      <c r="D2099" s="141">
        <v>325</v>
      </c>
      <c r="E2099" s="141" t="str">
        <f t="shared" si="178"/>
        <v>001</v>
      </c>
      <c r="F2099" s="141" t="s">
        <v>4326</v>
      </c>
      <c r="G2099" s="141" t="str">
        <f t="shared" si="181"/>
        <v>2117</v>
      </c>
      <c r="H2099" s="141" t="s">
        <v>1250</v>
      </c>
      <c r="I2099" s="141" t="str">
        <f t="shared" si="179"/>
        <v>999</v>
      </c>
      <c r="J2099" s="141" t="s">
        <v>4327</v>
      </c>
      <c r="K2099" s="141">
        <v>390</v>
      </c>
      <c r="L2099" s="141">
        <v>1</v>
      </c>
      <c r="M2099" s="141">
        <v>0</v>
      </c>
      <c r="N2099" s="141">
        <v>77000</v>
      </c>
      <c r="O2099" s="141" t="s">
        <v>4890</v>
      </c>
      <c r="P2099" s="141" t="s">
        <v>4367</v>
      </c>
    </row>
    <row r="2100" spans="1:16" ht="25.5">
      <c r="A2100" s="141">
        <v>76807</v>
      </c>
      <c r="B2100" s="141" t="s">
        <v>4325</v>
      </c>
      <c r="C2100" s="142">
        <v>41201</v>
      </c>
      <c r="D2100" s="141">
        <v>325</v>
      </c>
      <c r="E2100" s="141" t="str">
        <f t="shared" si="178"/>
        <v>001</v>
      </c>
      <c r="F2100" s="141" t="s">
        <v>4326</v>
      </c>
      <c r="G2100" s="141" t="str">
        <f t="shared" si="181"/>
        <v>2117</v>
      </c>
      <c r="H2100" s="141" t="s">
        <v>1250</v>
      </c>
      <c r="I2100" s="141" t="str">
        <f t="shared" si="179"/>
        <v>999</v>
      </c>
      <c r="J2100" s="141" t="s">
        <v>4327</v>
      </c>
      <c r="K2100" s="141">
        <v>391</v>
      </c>
      <c r="L2100" s="141">
        <v>1</v>
      </c>
      <c r="M2100" s="141">
        <v>0</v>
      </c>
      <c r="N2100" s="141">
        <v>2000</v>
      </c>
      <c r="O2100" s="141" t="s">
        <v>4345</v>
      </c>
      <c r="P2100" s="141"/>
    </row>
    <row r="2101" spans="1:16" ht="25.5">
      <c r="A2101" s="141">
        <v>76807</v>
      </c>
      <c r="B2101" s="141" t="s">
        <v>4325</v>
      </c>
      <c r="C2101" s="142">
        <v>41201</v>
      </c>
      <c r="D2101" s="141">
        <v>325</v>
      </c>
      <c r="E2101" s="141" t="str">
        <f t="shared" si="178"/>
        <v>001</v>
      </c>
      <c r="F2101" s="141" t="s">
        <v>4326</v>
      </c>
      <c r="G2101" s="141" t="str">
        <f t="shared" si="181"/>
        <v>2117</v>
      </c>
      <c r="H2101" s="141" t="s">
        <v>1250</v>
      </c>
      <c r="I2101" s="141" t="str">
        <f t="shared" si="179"/>
        <v>999</v>
      </c>
      <c r="J2101" s="141" t="s">
        <v>4327</v>
      </c>
      <c r="K2101" s="141">
        <v>392</v>
      </c>
      <c r="L2101" s="141">
        <v>1</v>
      </c>
      <c r="M2101" s="141">
        <v>0</v>
      </c>
      <c r="N2101" s="141">
        <v>24000</v>
      </c>
      <c r="O2101" s="141" t="s">
        <v>4353</v>
      </c>
      <c r="P2101" s="141" t="s">
        <v>4877</v>
      </c>
    </row>
    <row r="2102" spans="1:16" ht="25.5">
      <c r="A2102" s="141">
        <v>76807</v>
      </c>
      <c r="B2102" s="141" t="s">
        <v>4325</v>
      </c>
      <c r="C2102" s="142">
        <v>41201</v>
      </c>
      <c r="D2102" s="141">
        <v>325</v>
      </c>
      <c r="E2102" s="141" t="str">
        <f t="shared" si="178"/>
        <v>001</v>
      </c>
      <c r="F2102" s="141" t="s">
        <v>4326</v>
      </c>
      <c r="G2102" s="141" t="str">
        <f t="shared" si="181"/>
        <v>2117</v>
      </c>
      <c r="H2102" s="141" t="s">
        <v>1250</v>
      </c>
      <c r="I2102" s="141" t="str">
        <f t="shared" si="179"/>
        <v>999</v>
      </c>
      <c r="J2102" s="141" t="s">
        <v>4327</v>
      </c>
      <c r="K2102" s="141">
        <v>393</v>
      </c>
      <c r="L2102" s="141">
        <v>20</v>
      </c>
      <c r="M2102" s="141">
        <v>0</v>
      </c>
      <c r="N2102" s="141">
        <v>4000</v>
      </c>
      <c r="O2102" s="141" t="s">
        <v>4891</v>
      </c>
      <c r="P2102" s="141"/>
    </row>
    <row r="2103" spans="1:16" ht="25.5">
      <c r="A2103" s="141">
        <v>76807</v>
      </c>
      <c r="B2103" s="141" t="s">
        <v>4325</v>
      </c>
      <c r="C2103" s="142">
        <v>41201</v>
      </c>
      <c r="D2103" s="141">
        <v>325</v>
      </c>
      <c r="E2103" s="141" t="str">
        <f t="shared" si="178"/>
        <v>001</v>
      </c>
      <c r="F2103" s="141" t="s">
        <v>4326</v>
      </c>
      <c r="G2103" s="141" t="str">
        <f t="shared" si="181"/>
        <v>2117</v>
      </c>
      <c r="H2103" s="141" t="s">
        <v>1250</v>
      </c>
      <c r="I2103" s="141" t="str">
        <f t="shared" si="179"/>
        <v>999</v>
      </c>
      <c r="J2103" s="141" t="s">
        <v>4327</v>
      </c>
      <c r="K2103" s="141">
        <v>394</v>
      </c>
      <c r="L2103" s="141">
        <v>200</v>
      </c>
      <c r="M2103" s="141">
        <v>0</v>
      </c>
      <c r="N2103" s="141">
        <v>40000</v>
      </c>
      <c r="O2103" s="141" t="s">
        <v>4892</v>
      </c>
      <c r="P2103" s="141"/>
    </row>
    <row r="2104" spans="1:16" ht="25.5">
      <c r="A2104" s="141">
        <v>76807</v>
      </c>
      <c r="B2104" s="141" t="s">
        <v>4325</v>
      </c>
      <c r="C2104" s="142">
        <v>41201</v>
      </c>
      <c r="D2104" s="141">
        <v>325</v>
      </c>
      <c r="E2104" s="141" t="str">
        <f t="shared" si="178"/>
        <v>001</v>
      </c>
      <c r="F2104" s="141" t="s">
        <v>4326</v>
      </c>
      <c r="G2104" s="141" t="str">
        <f t="shared" si="181"/>
        <v>2117</v>
      </c>
      <c r="H2104" s="141" t="s">
        <v>1250</v>
      </c>
      <c r="I2104" s="141" t="str">
        <f t="shared" si="179"/>
        <v>999</v>
      </c>
      <c r="J2104" s="141" t="s">
        <v>4327</v>
      </c>
      <c r="K2104" s="141">
        <v>395</v>
      </c>
      <c r="L2104" s="141">
        <v>20</v>
      </c>
      <c r="M2104" s="141">
        <v>0</v>
      </c>
      <c r="N2104" s="141">
        <v>14000</v>
      </c>
      <c r="O2104" s="141" t="s">
        <v>4343</v>
      </c>
      <c r="P2104" s="141"/>
    </row>
    <row r="2105" spans="1:16" ht="25.5">
      <c r="A2105" s="141">
        <v>76807</v>
      </c>
      <c r="B2105" s="141" t="s">
        <v>4325</v>
      </c>
      <c r="C2105" s="142">
        <v>41201</v>
      </c>
      <c r="D2105" s="141">
        <v>325</v>
      </c>
      <c r="E2105" s="141" t="str">
        <f t="shared" si="178"/>
        <v>001</v>
      </c>
      <c r="F2105" s="141" t="s">
        <v>4326</v>
      </c>
      <c r="G2105" s="141" t="str">
        <f t="shared" si="181"/>
        <v>2117</v>
      </c>
      <c r="H2105" s="141" t="s">
        <v>1250</v>
      </c>
      <c r="I2105" s="141" t="str">
        <f t="shared" si="179"/>
        <v>999</v>
      </c>
      <c r="J2105" s="141" t="s">
        <v>4327</v>
      </c>
      <c r="K2105" s="141">
        <v>396</v>
      </c>
      <c r="L2105" s="141">
        <v>1</v>
      </c>
      <c r="M2105" s="141">
        <v>0</v>
      </c>
      <c r="N2105" s="141">
        <v>102000</v>
      </c>
      <c r="O2105" s="141" t="s">
        <v>4368</v>
      </c>
      <c r="P2105" s="141"/>
    </row>
    <row r="2106" spans="1:16" ht="25.5">
      <c r="A2106" s="141">
        <v>76807</v>
      </c>
      <c r="B2106" s="141" t="s">
        <v>4325</v>
      </c>
      <c r="C2106" s="142">
        <v>41201</v>
      </c>
      <c r="D2106" s="141">
        <v>326</v>
      </c>
      <c r="E2106" s="141" t="str">
        <f t="shared" si="178"/>
        <v>001</v>
      </c>
      <c r="F2106" s="141" t="s">
        <v>4326</v>
      </c>
      <c r="G2106" s="141" t="str">
        <f>"2118"</f>
        <v>2118</v>
      </c>
      <c r="H2106" s="141" t="s">
        <v>676</v>
      </c>
      <c r="I2106" s="141" t="str">
        <f t="shared" si="179"/>
        <v>999</v>
      </c>
      <c r="J2106" s="141" t="s">
        <v>4327</v>
      </c>
      <c r="K2106" s="141">
        <v>397</v>
      </c>
      <c r="L2106" s="141">
        <v>2</v>
      </c>
      <c r="M2106" s="141">
        <v>0</v>
      </c>
      <c r="N2106" s="141">
        <v>1000</v>
      </c>
      <c r="O2106" s="141" t="s">
        <v>4343</v>
      </c>
      <c r="P2106" s="141"/>
    </row>
    <row r="2107" spans="1:16" ht="25.5">
      <c r="A2107" s="141">
        <v>76807</v>
      </c>
      <c r="B2107" s="141" t="s">
        <v>4325</v>
      </c>
      <c r="C2107" s="142">
        <v>41201</v>
      </c>
      <c r="D2107" s="141">
        <v>326</v>
      </c>
      <c r="E2107" s="141" t="str">
        <f t="shared" si="178"/>
        <v>001</v>
      </c>
      <c r="F2107" s="141" t="s">
        <v>4326</v>
      </c>
      <c r="G2107" s="141" t="str">
        <f>"2118"</f>
        <v>2118</v>
      </c>
      <c r="H2107" s="141" t="s">
        <v>676</v>
      </c>
      <c r="I2107" s="141" t="str">
        <f t="shared" si="179"/>
        <v>999</v>
      </c>
      <c r="J2107" s="141" t="s">
        <v>4327</v>
      </c>
      <c r="K2107" s="141">
        <v>398</v>
      </c>
      <c r="L2107" s="141">
        <v>5</v>
      </c>
      <c r="M2107" s="141">
        <v>0</v>
      </c>
      <c r="N2107" s="141">
        <v>8000</v>
      </c>
      <c r="O2107" s="141" t="s">
        <v>4446</v>
      </c>
      <c r="P2107" s="141"/>
    </row>
    <row r="2108" spans="1:16" ht="25.5">
      <c r="A2108" s="141">
        <v>76807</v>
      </c>
      <c r="B2108" s="141" t="s">
        <v>4325</v>
      </c>
      <c r="C2108" s="142">
        <v>41201</v>
      </c>
      <c r="D2108" s="141">
        <v>326</v>
      </c>
      <c r="E2108" s="141" t="str">
        <f t="shared" si="178"/>
        <v>001</v>
      </c>
      <c r="F2108" s="141" t="s">
        <v>4326</v>
      </c>
      <c r="G2108" s="141" t="str">
        <f>"2118"</f>
        <v>2118</v>
      </c>
      <c r="H2108" s="141" t="s">
        <v>676</v>
      </c>
      <c r="I2108" s="141" t="str">
        <f t="shared" si="179"/>
        <v>999</v>
      </c>
      <c r="J2108" s="141" t="s">
        <v>4327</v>
      </c>
      <c r="K2108" s="141">
        <v>399</v>
      </c>
      <c r="L2108" s="141">
        <v>2</v>
      </c>
      <c r="M2108" s="141">
        <v>0</v>
      </c>
      <c r="N2108" s="141">
        <v>10000</v>
      </c>
      <c r="O2108" s="141" t="s">
        <v>4446</v>
      </c>
      <c r="P2108" s="141"/>
    </row>
    <row r="2109" spans="1:16" ht="25.5">
      <c r="A2109" s="141">
        <v>76807</v>
      </c>
      <c r="B2109" s="141" t="s">
        <v>4325</v>
      </c>
      <c r="C2109" s="142">
        <v>41201</v>
      </c>
      <c r="D2109" s="141">
        <v>326</v>
      </c>
      <c r="E2109" s="141" t="str">
        <f t="shared" si="178"/>
        <v>001</v>
      </c>
      <c r="F2109" s="141" t="s">
        <v>4326</v>
      </c>
      <c r="G2109" s="141" t="str">
        <f>"2118"</f>
        <v>2118</v>
      </c>
      <c r="H2109" s="141" t="s">
        <v>676</v>
      </c>
      <c r="I2109" s="141" t="str">
        <f t="shared" si="179"/>
        <v>999</v>
      </c>
      <c r="J2109" s="141" t="s">
        <v>4327</v>
      </c>
      <c r="K2109" s="141">
        <v>400</v>
      </c>
      <c r="L2109" s="141">
        <v>1</v>
      </c>
      <c r="M2109" s="141">
        <v>0</v>
      </c>
      <c r="N2109" s="141">
        <v>7000</v>
      </c>
      <c r="O2109" s="141" t="s">
        <v>4881</v>
      </c>
      <c r="P2109" s="141" t="s">
        <v>4423</v>
      </c>
    </row>
    <row r="2110" spans="1:16" ht="25.5">
      <c r="A2110" s="141">
        <v>76807</v>
      </c>
      <c r="B2110" s="141" t="s">
        <v>4325</v>
      </c>
      <c r="C2110" s="142">
        <v>41201</v>
      </c>
      <c r="D2110" s="141">
        <v>327</v>
      </c>
      <c r="E2110" s="141" t="str">
        <f t="shared" si="178"/>
        <v>001</v>
      </c>
      <c r="F2110" s="141" t="s">
        <v>4326</v>
      </c>
      <c r="G2110" s="141" t="str">
        <f>"2121"</f>
        <v>2121</v>
      </c>
      <c r="H2110" s="141" t="s">
        <v>1251</v>
      </c>
      <c r="I2110" s="141" t="str">
        <f t="shared" si="179"/>
        <v>999</v>
      </c>
      <c r="J2110" s="141" t="s">
        <v>4327</v>
      </c>
      <c r="K2110" s="141">
        <v>401</v>
      </c>
      <c r="L2110" s="141">
        <v>1</v>
      </c>
      <c r="M2110" s="141">
        <v>0</v>
      </c>
      <c r="N2110" s="141">
        <v>2000</v>
      </c>
      <c r="O2110" s="141" t="s">
        <v>4351</v>
      </c>
      <c r="P2110" s="141" t="s">
        <v>4389</v>
      </c>
    </row>
    <row r="2111" spans="1:16" ht="25.5">
      <c r="A2111" s="141">
        <v>76807</v>
      </c>
      <c r="B2111" s="141" t="s">
        <v>4325</v>
      </c>
      <c r="C2111" s="142">
        <v>41201</v>
      </c>
      <c r="D2111" s="141">
        <v>328</v>
      </c>
      <c r="E2111" s="141" t="str">
        <f t="shared" si="178"/>
        <v>001</v>
      </c>
      <c r="F2111" s="141" t="s">
        <v>4326</v>
      </c>
      <c r="G2111" s="141" t="str">
        <f>"2122"</f>
        <v>2122</v>
      </c>
      <c r="H2111" s="141" t="s">
        <v>1252</v>
      </c>
      <c r="I2111" s="141" t="str">
        <f t="shared" si="179"/>
        <v>999</v>
      </c>
      <c r="J2111" s="141" t="s">
        <v>4327</v>
      </c>
      <c r="K2111" s="141">
        <v>402</v>
      </c>
      <c r="L2111" s="141">
        <v>1</v>
      </c>
      <c r="M2111" s="141">
        <v>0</v>
      </c>
      <c r="N2111" s="141">
        <v>6000</v>
      </c>
      <c r="O2111" s="141" t="s">
        <v>4446</v>
      </c>
      <c r="P2111" s="141"/>
    </row>
    <row r="2112" spans="1:16" ht="25.5">
      <c r="A2112" s="141">
        <v>76807</v>
      </c>
      <c r="B2112" s="141" t="s">
        <v>4325</v>
      </c>
      <c r="C2112" s="142">
        <v>41201</v>
      </c>
      <c r="D2112" s="141">
        <v>329</v>
      </c>
      <c r="E2112" s="141" t="str">
        <f t="shared" si="178"/>
        <v>001</v>
      </c>
      <c r="F2112" s="141" t="s">
        <v>4326</v>
      </c>
      <c r="G2112" s="141" t="str">
        <f>"2125"</f>
        <v>2125</v>
      </c>
      <c r="H2112" s="141" t="s">
        <v>1253</v>
      </c>
      <c r="I2112" s="141" t="str">
        <f t="shared" si="179"/>
        <v>999</v>
      </c>
      <c r="J2112" s="141" t="s">
        <v>4327</v>
      </c>
      <c r="K2112" s="141">
        <v>403</v>
      </c>
      <c r="L2112" s="141">
        <v>1</v>
      </c>
      <c r="M2112" s="141">
        <v>0</v>
      </c>
      <c r="N2112" s="141">
        <v>3000</v>
      </c>
      <c r="O2112" s="141" t="s">
        <v>4351</v>
      </c>
      <c r="P2112" s="141" t="s">
        <v>4470</v>
      </c>
    </row>
    <row r="2113" spans="1:16" ht="25.5">
      <c r="A2113" s="141">
        <v>76807</v>
      </c>
      <c r="B2113" s="141" t="s">
        <v>4325</v>
      </c>
      <c r="C2113" s="142">
        <v>41201</v>
      </c>
      <c r="D2113" s="141">
        <v>329</v>
      </c>
      <c r="E2113" s="141" t="str">
        <f t="shared" si="178"/>
        <v>001</v>
      </c>
      <c r="F2113" s="141" t="s">
        <v>4326</v>
      </c>
      <c r="G2113" s="141" t="str">
        <f>"2125"</f>
        <v>2125</v>
      </c>
      <c r="H2113" s="141" t="s">
        <v>1253</v>
      </c>
      <c r="I2113" s="141" t="str">
        <f t="shared" si="179"/>
        <v>999</v>
      </c>
      <c r="J2113" s="141" t="s">
        <v>4327</v>
      </c>
      <c r="K2113" s="141">
        <v>404</v>
      </c>
      <c r="L2113" s="141">
        <v>1</v>
      </c>
      <c r="M2113" s="141">
        <v>0</v>
      </c>
      <c r="N2113" s="141">
        <v>4000</v>
      </c>
      <c r="O2113" s="141" t="s">
        <v>4337</v>
      </c>
      <c r="P2113" s="141" t="s">
        <v>4449</v>
      </c>
    </row>
    <row r="2114" spans="1:16" ht="25.5">
      <c r="A2114" s="141">
        <v>76807</v>
      </c>
      <c r="B2114" s="141" t="s">
        <v>4325</v>
      </c>
      <c r="C2114" s="142">
        <v>41201</v>
      </c>
      <c r="D2114" s="141">
        <v>329</v>
      </c>
      <c r="E2114" s="141" t="str">
        <f t="shared" ref="E2114:E2177" si="182">"001"</f>
        <v>001</v>
      </c>
      <c r="F2114" s="141" t="s">
        <v>4326</v>
      </c>
      <c r="G2114" s="141" t="str">
        <f>"2125"</f>
        <v>2125</v>
      </c>
      <c r="H2114" s="141" t="s">
        <v>1253</v>
      </c>
      <c r="I2114" s="141" t="str">
        <f t="shared" ref="I2114:I2177" si="183">"999"</f>
        <v>999</v>
      </c>
      <c r="J2114" s="141" t="s">
        <v>4327</v>
      </c>
      <c r="K2114" s="141">
        <v>405</v>
      </c>
      <c r="L2114" s="141">
        <v>1</v>
      </c>
      <c r="M2114" s="141">
        <v>0</v>
      </c>
      <c r="N2114" s="141">
        <v>4000</v>
      </c>
      <c r="O2114" s="141" t="s">
        <v>4631</v>
      </c>
      <c r="P2114" s="141" t="s">
        <v>4599</v>
      </c>
    </row>
    <row r="2115" spans="1:16" ht="25.5">
      <c r="A2115" s="141">
        <v>76807</v>
      </c>
      <c r="B2115" s="141" t="s">
        <v>4325</v>
      </c>
      <c r="C2115" s="142">
        <v>41201</v>
      </c>
      <c r="D2115" s="141">
        <v>330</v>
      </c>
      <c r="E2115" s="141" t="str">
        <f t="shared" si="182"/>
        <v>001</v>
      </c>
      <c r="F2115" s="141" t="s">
        <v>4326</v>
      </c>
      <c r="G2115" s="141" t="str">
        <f t="shared" ref="G2115:G2135" si="184">"2150"</f>
        <v>2150</v>
      </c>
      <c r="H2115" s="141" t="s">
        <v>1016</v>
      </c>
      <c r="I2115" s="141" t="str">
        <f t="shared" si="183"/>
        <v>999</v>
      </c>
      <c r="J2115" s="141" t="s">
        <v>4327</v>
      </c>
      <c r="K2115" s="141">
        <v>406</v>
      </c>
      <c r="L2115" s="141">
        <v>1</v>
      </c>
      <c r="M2115" s="141">
        <v>0</v>
      </c>
      <c r="N2115" s="141">
        <v>31000</v>
      </c>
      <c r="O2115" s="141" t="s">
        <v>4337</v>
      </c>
      <c r="P2115" s="141" t="s">
        <v>4612</v>
      </c>
    </row>
    <row r="2116" spans="1:16" ht="25.5">
      <c r="A2116" s="141">
        <v>76807</v>
      </c>
      <c r="B2116" s="141" t="s">
        <v>4325</v>
      </c>
      <c r="C2116" s="142">
        <v>41201</v>
      </c>
      <c r="D2116" s="141">
        <v>330</v>
      </c>
      <c r="E2116" s="141" t="str">
        <f t="shared" si="182"/>
        <v>001</v>
      </c>
      <c r="F2116" s="141" t="s">
        <v>4326</v>
      </c>
      <c r="G2116" s="141" t="str">
        <f t="shared" si="184"/>
        <v>2150</v>
      </c>
      <c r="H2116" s="141" t="s">
        <v>1016</v>
      </c>
      <c r="I2116" s="141" t="str">
        <f t="shared" si="183"/>
        <v>999</v>
      </c>
      <c r="J2116" s="141" t="s">
        <v>4327</v>
      </c>
      <c r="K2116" s="141">
        <v>407</v>
      </c>
      <c r="L2116" s="141">
        <v>4</v>
      </c>
      <c r="M2116" s="141">
        <v>0</v>
      </c>
      <c r="N2116" s="141">
        <v>38000</v>
      </c>
      <c r="O2116" s="141" t="s">
        <v>4540</v>
      </c>
      <c r="P2116" s="141"/>
    </row>
    <row r="2117" spans="1:16" ht="25.5">
      <c r="A2117" s="141">
        <v>76807</v>
      </c>
      <c r="B2117" s="141" t="s">
        <v>4325</v>
      </c>
      <c r="C2117" s="142">
        <v>41201</v>
      </c>
      <c r="D2117" s="141">
        <v>330</v>
      </c>
      <c r="E2117" s="141" t="str">
        <f t="shared" si="182"/>
        <v>001</v>
      </c>
      <c r="F2117" s="141" t="s">
        <v>4326</v>
      </c>
      <c r="G2117" s="141" t="str">
        <f t="shared" si="184"/>
        <v>2150</v>
      </c>
      <c r="H2117" s="141" t="s">
        <v>1016</v>
      </c>
      <c r="I2117" s="141" t="str">
        <f t="shared" si="183"/>
        <v>999</v>
      </c>
      <c r="J2117" s="141" t="s">
        <v>4327</v>
      </c>
      <c r="K2117" s="141">
        <v>408</v>
      </c>
      <c r="L2117" s="141">
        <v>1</v>
      </c>
      <c r="M2117" s="141">
        <v>0</v>
      </c>
      <c r="N2117" s="141">
        <v>15000</v>
      </c>
      <c r="O2117" s="141" t="s">
        <v>4631</v>
      </c>
      <c r="P2117" s="141" t="s">
        <v>4893</v>
      </c>
    </row>
    <row r="2118" spans="1:16" ht="25.5">
      <c r="A2118" s="141">
        <v>76807</v>
      </c>
      <c r="B2118" s="141" t="s">
        <v>4325</v>
      </c>
      <c r="C2118" s="142">
        <v>41201</v>
      </c>
      <c r="D2118" s="141">
        <v>330</v>
      </c>
      <c r="E2118" s="141" t="str">
        <f t="shared" si="182"/>
        <v>001</v>
      </c>
      <c r="F2118" s="141" t="s">
        <v>4326</v>
      </c>
      <c r="G2118" s="141" t="str">
        <f t="shared" si="184"/>
        <v>2150</v>
      </c>
      <c r="H2118" s="141" t="s">
        <v>1016</v>
      </c>
      <c r="I2118" s="141" t="str">
        <f t="shared" si="183"/>
        <v>999</v>
      </c>
      <c r="J2118" s="141" t="s">
        <v>4327</v>
      </c>
      <c r="K2118" s="141">
        <v>409</v>
      </c>
      <c r="L2118" s="141">
        <v>4</v>
      </c>
      <c r="M2118" s="141">
        <v>0</v>
      </c>
      <c r="N2118" s="141">
        <v>49000</v>
      </c>
      <c r="O2118" s="141" t="s">
        <v>4888</v>
      </c>
      <c r="P2118" s="141"/>
    </row>
    <row r="2119" spans="1:16" ht="25.5">
      <c r="A2119" s="141">
        <v>76807</v>
      </c>
      <c r="B2119" s="141" t="s">
        <v>4325</v>
      </c>
      <c r="C2119" s="142">
        <v>41201</v>
      </c>
      <c r="D2119" s="141">
        <v>330</v>
      </c>
      <c r="E2119" s="141" t="str">
        <f t="shared" si="182"/>
        <v>001</v>
      </c>
      <c r="F2119" s="141" t="s">
        <v>4326</v>
      </c>
      <c r="G2119" s="141" t="str">
        <f t="shared" si="184"/>
        <v>2150</v>
      </c>
      <c r="H2119" s="141" t="s">
        <v>1016</v>
      </c>
      <c r="I2119" s="141" t="str">
        <f t="shared" si="183"/>
        <v>999</v>
      </c>
      <c r="J2119" s="141" t="s">
        <v>4327</v>
      </c>
      <c r="K2119" s="141">
        <v>410</v>
      </c>
      <c r="L2119" s="141">
        <v>1</v>
      </c>
      <c r="M2119" s="141">
        <v>0</v>
      </c>
      <c r="N2119" s="141">
        <v>3000</v>
      </c>
      <c r="O2119" s="141" t="s">
        <v>4405</v>
      </c>
      <c r="P2119" s="141" t="s">
        <v>4539</v>
      </c>
    </row>
    <row r="2120" spans="1:16" ht="25.5">
      <c r="A2120" s="141">
        <v>76807</v>
      </c>
      <c r="B2120" s="141" t="s">
        <v>4325</v>
      </c>
      <c r="C2120" s="142">
        <v>41201</v>
      </c>
      <c r="D2120" s="141">
        <v>330</v>
      </c>
      <c r="E2120" s="141" t="str">
        <f t="shared" si="182"/>
        <v>001</v>
      </c>
      <c r="F2120" s="141" t="s">
        <v>4326</v>
      </c>
      <c r="G2120" s="141" t="str">
        <f t="shared" si="184"/>
        <v>2150</v>
      </c>
      <c r="H2120" s="141" t="s">
        <v>1016</v>
      </c>
      <c r="I2120" s="141" t="str">
        <f t="shared" si="183"/>
        <v>999</v>
      </c>
      <c r="J2120" s="141" t="s">
        <v>4327</v>
      </c>
      <c r="K2120" s="141">
        <v>411</v>
      </c>
      <c r="L2120" s="141">
        <v>1</v>
      </c>
      <c r="M2120" s="141">
        <v>0</v>
      </c>
      <c r="N2120" s="141">
        <v>3000</v>
      </c>
      <c r="O2120" s="141" t="s">
        <v>4405</v>
      </c>
      <c r="P2120" s="141" t="s">
        <v>4539</v>
      </c>
    </row>
    <row r="2121" spans="1:16" ht="25.5">
      <c r="A2121" s="141">
        <v>76807</v>
      </c>
      <c r="B2121" s="141" t="s">
        <v>4325</v>
      </c>
      <c r="C2121" s="142">
        <v>41201</v>
      </c>
      <c r="D2121" s="141">
        <v>330</v>
      </c>
      <c r="E2121" s="141" t="str">
        <f t="shared" si="182"/>
        <v>001</v>
      </c>
      <c r="F2121" s="141" t="s">
        <v>4326</v>
      </c>
      <c r="G2121" s="141" t="str">
        <f t="shared" si="184"/>
        <v>2150</v>
      </c>
      <c r="H2121" s="141" t="s">
        <v>1016</v>
      </c>
      <c r="I2121" s="141" t="str">
        <f t="shared" si="183"/>
        <v>999</v>
      </c>
      <c r="J2121" s="141" t="s">
        <v>4327</v>
      </c>
      <c r="K2121" s="141">
        <v>412</v>
      </c>
      <c r="L2121" s="141">
        <v>1</v>
      </c>
      <c r="M2121" s="141">
        <v>0</v>
      </c>
      <c r="N2121" s="141">
        <v>3000</v>
      </c>
      <c r="O2121" s="141" t="s">
        <v>4405</v>
      </c>
      <c r="P2121" s="141" t="s">
        <v>4539</v>
      </c>
    </row>
    <row r="2122" spans="1:16" ht="25.5">
      <c r="A2122" s="141">
        <v>76807</v>
      </c>
      <c r="B2122" s="141" t="s">
        <v>4325</v>
      </c>
      <c r="C2122" s="142">
        <v>41201</v>
      </c>
      <c r="D2122" s="141">
        <v>330</v>
      </c>
      <c r="E2122" s="141" t="str">
        <f t="shared" si="182"/>
        <v>001</v>
      </c>
      <c r="F2122" s="141" t="s">
        <v>4326</v>
      </c>
      <c r="G2122" s="141" t="str">
        <f t="shared" si="184"/>
        <v>2150</v>
      </c>
      <c r="H2122" s="141" t="s">
        <v>1016</v>
      </c>
      <c r="I2122" s="141" t="str">
        <f t="shared" si="183"/>
        <v>999</v>
      </c>
      <c r="J2122" s="141" t="s">
        <v>4327</v>
      </c>
      <c r="K2122" s="141">
        <v>413</v>
      </c>
      <c r="L2122" s="141">
        <v>1</v>
      </c>
      <c r="M2122" s="141">
        <v>0</v>
      </c>
      <c r="N2122" s="141">
        <v>3000</v>
      </c>
      <c r="O2122" s="141" t="s">
        <v>4405</v>
      </c>
      <c r="P2122" s="141" t="s">
        <v>4539</v>
      </c>
    </row>
    <row r="2123" spans="1:16" ht="25.5">
      <c r="A2123" s="141">
        <v>76807</v>
      </c>
      <c r="B2123" s="141" t="s">
        <v>4325</v>
      </c>
      <c r="C2123" s="142">
        <v>41201</v>
      </c>
      <c r="D2123" s="141">
        <v>330</v>
      </c>
      <c r="E2123" s="141" t="str">
        <f t="shared" si="182"/>
        <v>001</v>
      </c>
      <c r="F2123" s="141" t="s">
        <v>4326</v>
      </c>
      <c r="G2123" s="141" t="str">
        <f t="shared" si="184"/>
        <v>2150</v>
      </c>
      <c r="H2123" s="141" t="s">
        <v>1016</v>
      </c>
      <c r="I2123" s="141" t="str">
        <f t="shared" si="183"/>
        <v>999</v>
      </c>
      <c r="J2123" s="141" t="s">
        <v>4327</v>
      </c>
      <c r="K2123" s="141">
        <v>414</v>
      </c>
      <c r="L2123" s="141">
        <v>4</v>
      </c>
      <c r="M2123" s="141">
        <v>0</v>
      </c>
      <c r="N2123" s="141">
        <v>89000</v>
      </c>
      <c r="O2123" s="141" t="s">
        <v>4357</v>
      </c>
      <c r="P2123" s="141" t="s">
        <v>4642</v>
      </c>
    </row>
    <row r="2124" spans="1:16" ht="25.5">
      <c r="A2124" s="141">
        <v>76807</v>
      </c>
      <c r="B2124" s="141" t="s">
        <v>4325</v>
      </c>
      <c r="C2124" s="142">
        <v>41201</v>
      </c>
      <c r="D2124" s="141">
        <v>330</v>
      </c>
      <c r="E2124" s="141" t="str">
        <f t="shared" si="182"/>
        <v>001</v>
      </c>
      <c r="F2124" s="141" t="s">
        <v>4326</v>
      </c>
      <c r="G2124" s="141" t="str">
        <f t="shared" si="184"/>
        <v>2150</v>
      </c>
      <c r="H2124" s="141" t="s">
        <v>1016</v>
      </c>
      <c r="I2124" s="141" t="str">
        <f t="shared" si="183"/>
        <v>999</v>
      </c>
      <c r="J2124" s="141" t="s">
        <v>4327</v>
      </c>
      <c r="K2124" s="141">
        <v>415</v>
      </c>
      <c r="L2124" s="141">
        <v>8</v>
      </c>
      <c r="M2124" s="141">
        <v>0</v>
      </c>
      <c r="N2124" s="141">
        <v>132000</v>
      </c>
      <c r="O2124" s="141" t="s">
        <v>4357</v>
      </c>
      <c r="P2124" s="141" t="s">
        <v>4626</v>
      </c>
    </row>
    <row r="2125" spans="1:16" ht="25.5">
      <c r="A2125" s="141">
        <v>76807</v>
      </c>
      <c r="B2125" s="141" t="s">
        <v>4325</v>
      </c>
      <c r="C2125" s="142">
        <v>41201</v>
      </c>
      <c r="D2125" s="141">
        <v>330</v>
      </c>
      <c r="E2125" s="141" t="str">
        <f t="shared" si="182"/>
        <v>001</v>
      </c>
      <c r="F2125" s="141" t="s">
        <v>4326</v>
      </c>
      <c r="G2125" s="141" t="str">
        <f t="shared" si="184"/>
        <v>2150</v>
      </c>
      <c r="H2125" s="141" t="s">
        <v>1016</v>
      </c>
      <c r="I2125" s="141" t="str">
        <f t="shared" si="183"/>
        <v>999</v>
      </c>
      <c r="J2125" s="141" t="s">
        <v>4327</v>
      </c>
      <c r="K2125" s="141">
        <v>416</v>
      </c>
      <c r="L2125" s="141">
        <v>20</v>
      </c>
      <c r="M2125" s="141">
        <v>0</v>
      </c>
      <c r="N2125" s="141">
        <v>4000</v>
      </c>
      <c r="O2125" s="141" t="s">
        <v>4840</v>
      </c>
      <c r="P2125" s="141"/>
    </row>
    <row r="2126" spans="1:16" ht="25.5">
      <c r="A2126" s="141">
        <v>76807</v>
      </c>
      <c r="B2126" s="141" t="s">
        <v>4325</v>
      </c>
      <c r="C2126" s="142">
        <v>41201</v>
      </c>
      <c r="D2126" s="141">
        <v>330</v>
      </c>
      <c r="E2126" s="141" t="str">
        <f t="shared" si="182"/>
        <v>001</v>
      </c>
      <c r="F2126" s="141" t="s">
        <v>4326</v>
      </c>
      <c r="G2126" s="141" t="str">
        <f t="shared" si="184"/>
        <v>2150</v>
      </c>
      <c r="H2126" s="141" t="s">
        <v>1016</v>
      </c>
      <c r="I2126" s="141" t="str">
        <f t="shared" si="183"/>
        <v>999</v>
      </c>
      <c r="J2126" s="141" t="s">
        <v>4327</v>
      </c>
      <c r="K2126" s="141">
        <v>417</v>
      </c>
      <c r="L2126" s="141">
        <v>4</v>
      </c>
      <c r="M2126" s="141">
        <v>0</v>
      </c>
      <c r="N2126" s="141">
        <v>3000</v>
      </c>
      <c r="O2126" s="141" t="s">
        <v>4343</v>
      </c>
      <c r="P2126" s="141"/>
    </row>
    <row r="2127" spans="1:16" ht="25.5">
      <c r="A2127" s="141">
        <v>76807</v>
      </c>
      <c r="B2127" s="141" t="s">
        <v>4325</v>
      </c>
      <c r="C2127" s="142">
        <v>41201</v>
      </c>
      <c r="D2127" s="141">
        <v>330</v>
      </c>
      <c r="E2127" s="141" t="str">
        <f t="shared" si="182"/>
        <v>001</v>
      </c>
      <c r="F2127" s="141" t="s">
        <v>4326</v>
      </c>
      <c r="G2127" s="141" t="str">
        <f t="shared" si="184"/>
        <v>2150</v>
      </c>
      <c r="H2127" s="141" t="s">
        <v>1016</v>
      </c>
      <c r="I2127" s="141" t="str">
        <f t="shared" si="183"/>
        <v>999</v>
      </c>
      <c r="J2127" s="141" t="s">
        <v>4327</v>
      </c>
      <c r="K2127" s="141">
        <v>418</v>
      </c>
      <c r="L2127" s="141">
        <v>55</v>
      </c>
      <c r="M2127" s="141">
        <v>0</v>
      </c>
      <c r="N2127" s="141">
        <v>270000</v>
      </c>
      <c r="O2127" s="141" t="s">
        <v>4357</v>
      </c>
      <c r="P2127" s="141" t="s">
        <v>4335</v>
      </c>
    </row>
    <row r="2128" spans="1:16" ht="25.5">
      <c r="A2128" s="141">
        <v>76807</v>
      </c>
      <c r="B2128" s="141" t="s">
        <v>4325</v>
      </c>
      <c r="C2128" s="142">
        <v>41201</v>
      </c>
      <c r="D2128" s="141">
        <v>330</v>
      </c>
      <c r="E2128" s="141" t="str">
        <f t="shared" si="182"/>
        <v>001</v>
      </c>
      <c r="F2128" s="141" t="s">
        <v>4326</v>
      </c>
      <c r="G2128" s="141" t="str">
        <f t="shared" si="184"/>
        <v>2150</v>
      </c>
      <c r="H2128" s="141" t="s">
        <v>1016</v>
      </c>
      <c r="I2128" s="141" t="str">
        <f t="shared" si="183"/>
        <v>999</v>
      </c>
      <c r="J2128" s="141" t="s">
        <v>4327</v>
      </c>
      <c r="K2128" s="141">
        <v>419</v>
      </c>
      <c r="L2128" s="141">
        <v>57</v>
      </c>
      <c r="M2128" s="141">
        <v>0</v>
      </c>
      <c r="N2128" s="141">
        <v>198000</v>
      </c>
      <c r="O2128" s="141" t="s">
        <v>4357</v>
      </c>
      <c r="P2128" s="141" t="s">
        <v>4340</v>
      </c>
    </row>
    <row r="2129" spans="1:16" ht="25.5">
      <c r="A2129" s="141">
        <v>76807</v>
      </c>
      <c r="B2129" s="141" t="s">
        <v>4325</v>
      </c>
      <c r="C2129" s="142">
        <v>41201</v>
      </c>
      <c r="D2129" s="141">
        <v>330</v>
      </c>
      <c r="E2129" s="141" t="str">
        <f t="shared" si="182"/>
        <v>001</v>
      </c>
      <c r="F2129" s="141" t="s">
        <v>4326</v>
      </c>
      <c r="G2129" s="141" t="str">
        <f t="shared" si="184"/>
        <v>2150</v>
      </c>
      <c r="H2129" s="141" t="s">
        <v>1016</v>
      </c>
      <c r="I2129" s="141" t="str">
        <f t="shared" si="183"/>
        <v>999</v>
      </c>
      <c r="J2129" s="141" t="s">
        <v>4327</v>
      </c>
      <c r="K2129" s="141">
        <v>420</v>
      </c>
      <c r="L2129" s="141">
        <v>2</v>
      </c>
      <c r="M2129" s="141">
        <v>0</v>
      </c>
      <c r="N2129" s="141">
        <v>4000</v>
      </c>
      <c r="O2129" s="141" t="s">
        <v>4685</v>
      </c>
      <c r="P2129" s="141"/>
    </row>
    <row r="2130" spans="1:16" ht="25.5">
      <c r="A2130" s="141">
        <v>76807</v>
      </c>
      <c r="B2130" s="141" t="s">
        <v>4325</v>
      </c>
      <c r="C2130" s="142">
        <v>41201</v>
      </c>
      <c r="D2130" s="141">
        <v>330</v>
      </c>
      <c r="E2130" s="141" t="str">
        <f t="shared" si="182"/>
        <v>001</v>
      </c>
      <c r="F2130" s="141" t="s">
        <v>4326</v>
      </c>
      <c r="G2130" s="141" t="str">
        <f t="shared" si="184"/>
        <v>2150</v>
      </c>
      <c r="H2130" s="141" t="s">
        <v>1016</v>
      </c>
      <c r="I2130" s="141" t="str">
        <f t="shared" si="183"/>
        <v>999</v>
      </c>
      <c r="J2130" s="141" t="s">
        <v>4327</v>
      </c>
      <c r="K2130" s="141">
        <v>421</v>
      </c>
      <c r="L2130" s="141">
        <v>8</v>
      </c>
      <c r="M2130" s="141">
        <v>0</v>
      </c>
      <c r="N2130" s="141">
        <v>16000</v>
      </c>
      <c r="O2130" s="141" t="s">
        <v>4446</v>
      </c>
      <c r="P2130" s="141"/>
    </row>
    <row r="2131" spans="1:16" ht="25.5">
      <c r="A2131" s="141">
        <v>76807</v>
      </c>
      <c r="B2131" s="141" t="s">
        <v>4325</v>
      </c>
      <c r="C2131" s="142">
        <v>41201</v>
      </c>
      <c r="D2131" s="141">
        <v>330</v>
      </c>
      <c r="E2131" s="141" t="str">
        <f t="shared" si="182"/>
        <v>001</v>
      </c>
      <c r="F2131" s="141" t="s">
        <v>4326</v>
      </c>
      <c r="G2131" s="141" t="str">
        <f t="shared" si="184"/>
        <v>2150</v>
      </c>
      <c r="H2131" s="141" t="s">
        <v>1016</v>
      </c>
      <c r="I2131" s="141" t="str">
        <f t="shared" si="183"/>
        <v>999</v>
      </c>
      <c r="J2131" s="141" t="s">
        <v>4327</v>
      </c>
      <c r="K2131" s="141">
        <v>422</v>
      </c>
      <c r="L2131" s="141">
        <v>2</v>
      </c>
      <c r="M2131" s="141">
        <v>0</v>
      </c>
      <c r="N2131" s="141">
        <v>1000</v>
      </c>
      <c r="O2131" s="141" t="s">
        <v>4350</v>
      </c>
      <c r="P2131" s="141"/>
    </row>
    <row r="2132" spans="1:16" ht="25.5">
      <c r="A2132" s="141">
        <v>76807</v>
      </c>
      <c r="B2132" s="141" t="s">
        <v>4325</v>
      </c>
      <c r="C2132" s="142">
        <v>41201</v>
      </c>
      <c r="D2132" s="141">
        <v>330</v>
      </c>
      <c r="E2132" s="141" t="str">
        <f t="shared" si="182"/>
        <v>001</v>
      </c>
      <c r="F2132" s="141" t="s">
        <v>4326</v>
      </c>
      <c r="G2132" s="141" t="str">
        <f t="shared" si="184"/>
        <v>2150</v>
      </c>
      <c r="H2132" s="141" t="s">
        <v>1016</v>
      </c>
      <c r="I2132" s="141" t="str">
        <f t="shared" si="183"/>
        <v>999</v>
      </c>
      <c r="J2132" s="141" t="s">
        <v>4327</v>
      </c>
      <c r="K2132" s="141">
        <v>423</v>
      </c>
      <c r="L2132" s="141">
        <v>1</v>
      </c>
      <c r="M2132" s="141">
        <v>0</v>
      </c>
      <c r="N2132" s="141">
        <v>3000</v>
      </c>
      <c r="O2132" s="141" t="s">
        <v>4330</v>
      </c>
      <c r="P2132" s="141" t="s">
        <v>4331</v>
      </c>
    </row>
    <row r="2133" spans="1:16" ht="25.5">
      <c r="A2133" s="141">
        <v>76807</v>
      </c>
      <c r="B2133" s="141" t="s">
        <v>4325</v>
      </c>
      <c r="C2133" s="142">
        <v>41201</v>
      </c>
      <c r="D2133" s="141">
        <v>330</v>
      </c>
      <c r="E2133" s="141" t="str">
        <f t="shared" si="182"/>
        <v>001</v>
      </c>
      <c r="F2133" s="141" t="s">
        <v>4326</v>
      </c>
      <c r="G2133" s="141" t="str">
        <f t="shared" si="184"/>
        <v>2150</v>
      </c>
      <c r="H2133" s="141" t="s">
        <v>1016</v>
      </c>
      <c r="I2133" s="141" t="str">
        <f t="shared" si="183"/>
        <v>999</v>
      </c>
      <c r="J2133" s="141" t="s">
        <v>4327</v>
      </c>
      <c r="K2133" s="141">
        <v>424</v>
      </c>
      <c r="L2133" s="141">
        <v>1</v>
      </c>
      <c r="M2133" s="141">
        <v>0</v>
      </c>
      <c r="N2133" s="141">
        <v>2000</v>
      </c>
      <c r="O2133" s="141" t="s">
        <v>4330</v>
      </c>
      <c r="P2133" s="141" t="s">
        <v>4443</v>
      </c>
    </row>
    <row r="2134" spans="1:16" ht="25.5">
      <c r="A2134" s="141">
        <v>76807</v>
      </c>
      <c r="B2134" s="141" t="s">
        <v>4325</v>
      </c>
      <c r="C2134" s="142">
        <v>41201</v>
      </c>
      <c r="D2134" s="141">
        <v>330</v>
      </c>
      <c r="E2134" s="141" t="str">
        <f t="shared" si="182"/>
        <v>001</v>
      </c>
      <c r="F2134" s="141" t="s">
        <v>4326</v>
      </c>
      <c r="G2134" s="141" t="str">
        <f t="shared" si="184"/>
        <v>2150</v>
      </c>
      <c r="H2134" s="141" t="s">
        <v>1016</v>
      </c>
      <c r="I2134" s="141" t="str">
        <f t="shared" si="183"/>
        <v>999</v>
      </c>
      <c r="J2134" s="141" t="s">
        <v>4327</v>
      </c>
      <c r="K2134" s="141">
        <v>425</v>
      </c>
      <c r="L2134" s="141">
        <v>1</v>
      </c>
      <c r="M2134" s="141">
        <v>0</v>
      </c>
      <c r="N2134" s="141">
        <v>2000</v>
      </c>
      <c r="O2134" s="141" t="s">
        <v>4330</v>
      </c>
      <c r="P2134" s="141" t="s">
        <v>4443</v>
      </c>
    </row>
    <row r="2135" spans="1:16" ht="25.5">
      <c r="A2135" s="141">
        <v>76807</v>
      </c>
      <c r="B2135" s="141" t="s">
        <v>4325</v>
      </c>
      <c r="C2135" s="142">
        <v>41201</v>
      </c>
      <c r="D2135" s="141">
        <v>330</v>
      </c>
      <c r="E2135" s="141" t="str">
        <f t="shared" si="182"/>
        <v>001</v>
      </c>
      <c r="F2135" s="141" t="s">
        <v>4326</v>
      </c>
      <c r="G2135" s="141" t="str">
        <f t="shared" si="184"/>
        <v>2150</v>
      </c>
      <c r="H2135" s="141" t="s">
        <v>1016</v>
      </c>
      <c r="I2135" s="141" t="str">
        <f t="shared" si="183"/>
        <v>999</v>
      </c>
      <c r="J2135" s="141" t="s">
        <v>4327</v>
      </c>
      <c r="K2135" s="141">
        <v>426</v>
      </c>
      <c r="L2135" s="141">
        <v>1</v>
      </c>
      <c r="M2135" s="141">
        <v>0</v>
      </c>
      <c r="N2135" s="141">
        <v>18000</v>
      </c>
      <c r="O2135" s="141" t="s">
        <v>4881</v>
      </c>
      <c r="P2135" s="141" t="s">
        <v>4479</v>
      </c>
    </row>
    <row r="2136" spans="1:16" ht="25.5">
      <c r="A2136" s="141">
        <v>76807</v>
      </c>
      <c r="B2136" s="141" t="s">
        <v>4325</v>
      </c>
      <c r="C2136" s="142">
        <v>41201</v>
      </c>
      <c r="D2136" s="141">
        <v>740</v>
      </c>
      <c r="E2136" s="141" t="str">
        <f t="shared" si="182"/>
        <v>001</v>
      </c>
      <c r="F2136" s="141" t="s">
        <v>4326</v>
      </c>
      <c r="G2136" s="141" t="str">
        <f t="shared" ref="G2136:G2142" si="185">"2185"</f>
        <v>2185</v>
      </c>
      <c r="H2136" s="141" t="s">
        <v>998</v>
      </c>
      <c r="I2136" s="141" t="str">
        <f t="shared" si="183"/>
        <v>999</v>
      </c>
      <c r="J2136" s="141" t="s">
        <v>4327</v>
      </c>
      <c r="K2136" s="141">
        <v>2395</v>
      </c>
      <c r="L2136" s="141">
        <v>1</v>
      </c>
      <c r="M2136" s="141">
        <v>0</v>
      </c>
      <c r="N2136" s="141">
        <v>8000</v>
      </c>
      <c r="O2136" s="141" t="s">
        <v>4328</v>
      </c>
      <c r="P2136" s="141" t="s">
        <v>4894</v>
      </c>
    </row>
    <row r="2137" spans="1:16" ht="25.5">
      <c r="A2137" s="141">
        <v>76807</v>
      </c>
      <c r="B2137" s="141" t="s">
        <v>4325</v>
      </c>
      <c r="C2137" s="142">
        <v>41201</v>
      </c>
      <c r="D2137" s="141">
        <v>740</v>
      </c>
      <c r="E2137" s="141" t="str">
        <f t="shared" si="182"/>
        <v>001</v>
      </c>
      <c r="F2137" s="141" t="s">
        <v>4326</v>
      </c>
      <c r="G2137" s="141" t="str">
        <f t="shared" si="185"/>
        <v>2185</v>
      </c>
      <c r="H2137" s="141" t="s">
        <v>998</v>
      </c>
      <c r="I2137" s="141" t="str">
        <f t="shared" si="183"/>
        <v>999</v>
      </c>
      <c r="J2137" s="141" t="s">
        <v>4327</v>
      </c>
      <c r="K2137" s="141">
        <v>2396</v>
      </c>
      <c r="L2137" s="141">
        <v>1</v>
      </c>
      <c r="M2137" s="141">
        <v>0</v>
      </c>
      <c r="N2137" s="141">
        <v>4000</v>
      </c>
      <c r="O2137" s="141" t="s">
        <v>4330</v>
      </c>
      <c r="P2137" s="141" t="s">
        <v>4348</v>
      </c>
    </row>
    <row r="2138" spans="1:16" ht="25.5">
      <c r="A2138" s="141">
        <v>76807</v>
      </c>
      <c r="B2138" s="141" t="s">
        <v>4325</v>
      </c>
      <c r="C2138" s="142">
        <v>41201</v>
      </c>
      <c r="D2138" s="141">
        <v>740</v>
      </c>
      <c r="E2138" s="141" t="str">
        <f t="shared" si="182"/>
        <v>001</v>
      </c>
      <c r="F2138" s="141" t="s">
        <v>4326</v>
      </c>
      <c r="G2138" s="141" t="str">
        <f t="shared" si="185"/>
        <v>2185</v>
      </c>
      <c r="H2138" s="141" t="s">
        <v>998</v>
      </c>
      <c r="I2138" s="141" t="str">
        <f t="shared" si="183"/>
        <v>999</v>
      </c>
      <c r="J2138" s="141" t="s">
        <v>4327</v>
      </c>
      <c r="K2138" s="141">
        <v>2397</v>
      </c>
      <c r="L2138" s="141">
        <v>1</v>
      </c>
      <c r="M2138" s="141">
        <v>0</v>
      </c>
      <c r="N2138" s="141">
        <v>3000</v>
      </c>
      <c r="O2138" s="141" t="s">
        <v>4836</v>
      </c>
      <c r="P2138" s="141"/>
    </row>
    <row r="2139" spans="1:16" ht="25.5">
      <c r="A2139" s="141">
        <v>76807</v>
      </c>
      <c r="B2139" s="141" t="s">
        <v>4325</v>
      </c>
      <c r="C2139" s="142">
        <v>41201</v>
      </c>
      <c r="D2139" s="141">
        <v>740</v>
      </c>
      <c r="E2139" s="141" t="str">
        <f t="shared" si="182"/>
        <v>001</v>
      </c>
      <c r="F2139" s="141" t="s">
        <v>4326</v>
      </c>
      <c r="G2139" s="141" t="str">
        <f t="shared" si="185"/>
        <v>2185</v>
      </c>
      <c r="H2139" s="141" t="s">
        <v>998</v>
      </c>
      <c r="I2139" s="141" t="str">
        <f t="shared" si="183"/>
        <v>999</v>
      </c>
      <c r="J2139" s="141" t="s">
        <v>4327</v>
      </c>
      <c r="K2139" s="141">
        <v>2398</v>
      </c>
      <c r="L2139" s="141">
        <v>1</v>
      </c>
      <c r="M2139" s="141">
        <v>0</v>
      </c>
      <c r="N2139" s="141">
        <v>3000</v>
      </c>
      <c r="O2139" s="141" t="s">
        <v>4357</v>
      </c>
      <c r="P2139" s="141" t="s">
        <v>4340</v>
      </c>
    </row>
    <row r="2140" spans="1:16" ht="25.5">
      <c r="A2140" s="141">
        <v>76807</v>
      </c>
      <c r="B2140" s="141" t="s">
        <v>4325</v>
      </c>
      <c r="C2140" s="142">
        <v>41201</v>
      </c>
      <c r="D2140" s="141">
        <v>740</v>
      </c>
      <c r="E2140" s="141" t="str">
        <f t="shared" si="182"/>
        <v>001</v>
      </c>
      <c r="F2140" s="141" t="s">
        <v>4326</v>
      </c>
      <c r="G2140" s="141" t="str">
        <f t="shared" si="185"/>
        <v>2185</v>
      </c>
      <c r="H2140" s="141" t="s">
        <v>998</v>
      </c>
      <c r="I2140" s="141" t="str">
        <f t="shared" si="183"/>
        <v>999</v>
      </c>
      <c r="J2140" s="141" t="s">
        <v>4327</v>
      </c>
      <c r="K2140" s="141">
        <v>2399</v>
      </c>
      <c r="L2140" s="141">
        <v>1</v>
      </c>
      <c r="M2140" s="141">
        <v>0</v>
      </c>
      <c r="N2140" s="141">
        <v>3000</v>
      </c>
      <c r="O2140" s="141" t="s">
        <v>4357</v>
      </c>
      <c r="P2140" s="141" t="s">
        <v>4335</v>
      </c>
    </row>
    <row r="2141" spans="1:16" ht="25.5">
      <c r="A2141" s="141">
        <v>76807</v>
      </c>
      <c r="B2141" s="141" t="s">
        <v>4325</v>
      </c>
      <c r="C2141" s="142">
        <v>41201</v>
      </c>
      <c r="D2141" s="141">
        <v>740</v>
      </c>
      <c r="E2141" s="141" t="str">
        <f t="shared" si="182"/>
        <v>001</v>
      </c>
      <c r="F2141" s="141" t="s">
        <v>4326</v>
      </c>
      <c r="G2141" s="141" t="str">
        <f t="shared" si="185"/>
        <v>2185</v>
      </c>
      <c r="H2141" s="141" t="s">
        <v>998</v>
      </c>
      <c r="I2141" s="141" t="str">
        <f t="shared" si="183"/>
        <v>999</v>
      </c>
      <c r="J2141" s="141" t="s">
        <v>4327</v>
      </c>
      <c r="K2141" s="141">
        <v>2400</v>
      </c>
      <c r="L2141" s="141">
        <v>1</v>
      </c>
      <c r="M2141" s="141">
        <v>0</v>
      </c>
      <c r="N2141" s="141">
        <v>3000</v>
      </c>
      <c r="O2141" s="141" t="s">
        <v>4357</v>
      </c>
      <c r="P2141" s="141" t="s">
        <v>4340</v>
      </c>
    </row>
    <row r="2142" spans="1:16" ht="25.5">
      <c r="A2142" s="141">
        <v>76807</v>
      </c>
      <c r="B2142" s="141" t="s">
        <v>4325</v>
      </c>
      <c r="C2142" s="142">
        <v>41201</v>
      </c>
      <c r="D2142" s="141">
        <v>740</v>
      </c>
      <c r="E2142" s="141" t="str">
        <f t="shared" si="182"/>
        <v>001</v>
      </c>
      <c r="F2142" s="141" t="s">
        <v>4326</v>
      </c>
      <c r="G2142" s="141" t="str">
        <f t="shared" si="185"/>
        <v>2185</v>
      </c>
      <c r="H2142" s="141" t="s">
        <v>998</v>
      </c>
      <c r="I2142" s="141" t="str">
        <f t="shared" si="183"/>
        <v>999</v>
      </c>
      <c r="J2142" s="141" t="s">
        <v>4327</v>
      </c>
      <c r="K2142" s="141">
        <v>2401</v>
      </c>
      <c r="L2142" s="141">
        <v>2</v>
      </c>
      <c r="M2142" s="141">
        <v>0</v>
      </c>
      <c r="N2142" s="141">
        <v>1000</v>
      </c>
      <c r="O2142" s="141" t="s">
        <v>4381</v>
      </c>
      <c r="P2142" s="141"/>
    </row>
    <row r="2143" spans="1:16" ht="25.5">
      <c r="A2143" s="141">
        <v>76807</v>
      </c>
      <c r="B2143" s="141" t="s">
        <v>4325</v>
      </c>
      <c r="C2143" s="142">
        <v>41201</v>
      </c>
      <c r="D2143" s="141">
        <v>730</v>
      </c>
      <c r="E2143" s="141" t="str">
        <f t="shared" si="182"/>
        <v>001</v>
      </c>
      <c r="F2143" s="141" t="s">
        <v>4326</v>
      </c>
      <c r="G2143" s="141" t="str">
        <f t="shared" ref="G2143:G2150" si="186">"2186"</f>
        <v>2186</v>
      </c>
      <c r="H2143" s="141" t="s">
        <v>990</v>
      </c>
      <c r="I2143" s="141" t="str">
        <f t="shared" si="183"/>
        <v>999</v>
      </c>
      <c r="J2143" s="141" t="s">
        <v>4327</v>
      </c>
      <c r="K2143" s="141">
        <v>2253</v>
      </c>
      <c r="L2143" s="141">
        <v>1</v>
      </c>
      <c r="M2143" s="141">
        <v>0</v>
      </c>
      <c r="N2143" s="141">
        <v>4000</v>
      </c>
      <c r="O2143" s="141" t="s">
        <v>4463</v>
      </c>
      <c r="P2143" s="141" t="s">
        <v>4440</v>
      </c>
    </row>
    <row r="2144" spans="1:16" ht="25.5">
      <c r="A2144" s="141">
        <v>76807</v>
      </c>
      <c r="B2144" s="141" t="s">
        <v>4325</v>
      </c>
      <c r="C2144" s="142">
        <v>41201</v>
      </c>
      <c r="D2144" s="141">
        <v>730</v>
      </c>
      <c r="E2144" s="141" t="str">
        <f t="shared" si="182"/>
        <v>001</v>
      </c>
      <c r="F2144" s="141" t="s">
        <v>4326</v>
      </c>
      <c r="G2144" s="141" t="str">
        <f t="shared" si="186"/>
        <v>2186</v>
      </c>
      <c r="H2144" s="141" t="s">
        <v>990</v>
      </c>
      <c r="I2144" s="141" t="str">
        <f t="shared" si="183"/>
        <v>999</v>
      </c>
      <c r="J2144" s="141" t="s">
        <v>4327</v>
      </c>
      <c r="K2144" s="141">
        <v>2254</v>
      </c>
      <c r="L2144" s="141">
        <v>1</v>
      </c>
      <c r="M2144" s="141">
        <v>0</v>
      </c>
      <c r="N2144" s="141">
        <v>4000</v>
      </c>
      <c r="O2144" s="141" t="s">
        <v>4330</v>
      </c>
      <c r="P2144" s="141" t="s">
        <v>4348</v>
      </c>
    </row>
    <row r="2145" spans="1:16" ht="25.5">
      <c r="A2145" s="141">
        <v>76807</v>
      </c>
      <c r="B2145" s="141" t="s">
        <v>4325</v>
      </c>
      <c r="C2145" s="142">
        <v>41201</v>
      </c>
      <c r="D2145" s="141">
        <v>730</v>
      </c>
      <c r="E2145" s="141" t="str">
        <f t="shared" si="182"/>
        <v>001</v>
      </c>
      <c r="F2145" s="141" t="s">
        <v>4326</v>
      </c>
      <c r="G2145" s="141" t="str">
        <f t="shared" si="186"/>
        <v>2186</v>
      </c>
      <c r="H2145" s="141" t="s">
        <v>990</v>
      </c>
      <c r="I2145" s="141" t="str">
        <f t="shared" si="183"/>
        <v>999</v>
      </c>
      <c r="J2145" s="141" t="s">
        <v>4327</v>
      </c>
      <c r="K2145" s="141">
        <v>2255</v>
      </c>
      <c r="L2145" s="141">
        <v>3</v>
      </c>
      <c r="M2145" s="141">
        <v>0</v>
      </c>
      <c r="N2145" s="141">
        <v>8000</v>
      </c>
      <c r="O2145" s="141" t="s">
        <v>4357</v>
      </c>
      <c r="P2145" s="141" t="s">
        <v>4340</v>
      </c>
    </row>
    <row r="2146" spans="1:16" ht="25.5">
      <c r="A2146" s="141">
        <v>76807</v>
      </c>
      <c r="B2146" s="141" t="s">
        <v>4325</v>
      </c>
      <c r="C2146" s="142">
        <v>41201</v>
      </c>
      <c r="D2146" s="141">
        <v>730</v>
      </c>
      <c r="E2146" s="141" t="str">
        <f t="shared" si="182"/>
        <v>001</v>
      </c>
      <c r="F2146" s="141" t="s">
        <v>4326</v>
      </c>
      <c r="G2146" s="141" t="str">
        <f t="shared" si="186"/>
        <v>2186</v>
      </c>
      <c r="H2146" s="141" t="s">
        <v>990</v>
      </c>
      <c r="I2146" s="141" t="str">
        <f t="shared" si="183"/>
        <v>999</v>
      </c>
      <c r="J2146" s="141" t="s">
        <v>4327</v>
      </c>
      <c r="K2146" s="141">
        <v>2256</v>
      </c>
      <c r="L2146" s="141">
        <v>1</v>
      </c>
      <c r="M2146" s="141">
        <v>0</v>
      </c>
      <c r="N2146" s="141">
        <v>4000</v>
      </c>
      <c r="O2146" s="141" t="s">
        <v>4807</v>
      </c>
      <c r="P2146" s="141"/>
    </row>
    <row r="2147" spans="1:16" ht="25.5">
      <c r="A2147" s="141">
        <v>76807</v>
      </c>
      <c r="B2147" s="141" t="s">
        <v>4325</v>
      </c>
      <c r="C2147" s="142">
        <v>41201</v>
      </c>
      <c r="D2147" s="141">
        <v>730</v>
      </c>
      <c r="E2147" s="141" t="str">
        <f t="shared" si="182"/>
        <v>001</v>
      </c>
      <c r="F2147" s="141" t="s">
        <v>4326</v>
      </c>
      <c r="G2147" s="141" t="str">
        <f t="shared" si="186"/>
        <v>2186</v>
      </c>
      <c r="H2147" s="141" t="s">
        <v>990</v>
      </c>
      <c r="I2147" s="141" t="str">
        <f t="shared" si="183"/>
        <v>999</v>
      </c>
      <c r="J2147" s="141" t="s">
        <v>4327</v>
      </c>
      <c r="K2147" s="141">
        <v>2257</v>
      </c>
      <c r="L2147" s="141">
        <v>1</v>
      </c>
      <c r="M2147" s="141">
        <v>0</v>
      </c>
      <c r="N2147" s="141">
        <v>3000</v>
      </c>
      <c r="O2147" s="141" t="s">
        <v>4895</v>
      </c>
      <c r="P2147" s="141"/>
    </row>
    <row r="2148" spans="1:16" ht="25.5">
      <c r="A2148" s="141">
        <v>76807</v>
      </c>
      <c r="B2148" s="141" t="s">
        <v>4325</v>
      </c>
      <c r="C2148" s="142">
        <v>41201</v>
      </c>
      <c r="D2148" s="141">
        <v>730</v>
      </c>
      <c r="E2148" s="141" t="str">
        <f t="shared" si="182"/>
        <v>001</v>
      </c>
      <c r="F2148" s="141" t="s">
        <v>4326</v>
      </c>
      <c r="G2148" s="141" t="str">
        <f t="shared" si="186"/>
        <v>2186</v>
      </c>
      <c r="H2148" s="141" t="s">
        <v>990</v>
      </c>
      <c r="I2148" s="141" t="str">
        <f t="shared" si="183"/>
        <v>999</v>
      </c>
      <c r="J2148" s="141" t="s">
        <v>4327</v>
      </c>
      <c r="K2148" s="141">
        <v>2258</v>
      </c>
      <c r="L2148" s="141">
        <v>1</v>
      </c>
      <c r="M2148" s="141">
        <v>0</v>
      </c>
      <c r="N2148" s="141">
        <v>1000</v>
      </c>
      <c r="O2148" s="141" t="s">
        <v>4350</v>
      </c>
      <c r="P2148" s="141"/>
    </row>
    <row r="2149" spans="1:16" ht="25.5">
      <c r="A2149" s="141">
        <v>76807</v>
      </c>
      <c r="B2149" s="141" t="s">
        <v>4325</v>
      </c>
      <c r="C2149" s="142">
        <v>41201</v>
      </c>
      <c r="D2149" s="141">
        <v>730</v>
      </c>
      <c r="E2149" s="141" t="str">
        <f t="shared" si="182"/>
        <v>001</v>
      </c>
      <c r="F2149" s="141" t="s">
        <v>4326</v>
      </c>
      <c r="G2149" s="141" t="str">
        <f t="shared" si="186"/>
        <v>2186</v>
      </c>
      <c r="H2149" s="141" t="s">
        <v>990</v>
      </c>
      <c r="I2149" s="141" t="str">
        <f t="shared" si="183"/>
        <v>999</v>
      </c>
      <c r="J2149" s="141" t="s">
        <v>4327</v>
      </c>
      <c r="K2149" s="141">
        <v>2259</v>
      </c>
      <c r="L2149" s="141">
        <v>1</v>
      </c>
      <c r="M2149" s="141">
        <v>0</v>
      </c>
      <c r="N2149" s="141">
        <v>1000</v>
      </c>
      <c r="O2149" s="141" t="s">
        <v>4343</v>
      </c>
      <c r="P2149" s="141"/>
    </row>
    <row r="2150" spans="1:16" ht="25.5">
      <c r="A2150" s="141">
        <v>76807</v>
      </c>
      <c r="B2150" s="141" t="s">
        <v>4325</v>
      </c>
      <c r="C2150" s="142">
        <v>41201</v>
      </c>
      <c r="D2150" s="141">
        <v>730</v>
      </c>
      <c r="E2150" s="141" t="str">
        <f t="shared" si="182"/>
        <v>001</v>
      </c>
      <c r="F2150" s="141" t="s">
        <v>4326</v>
      </c>
      <c r="G2150" s="141" t="str">
        <f t="shared" si="186"/>
        <v>2186</v>
      </c>
      <c r="H2150" s="141" t="s">
        <v>990</v>
      </c>
      <c r="I2150" s="141" t="str">
        <f t="shared" si="183"/>
        <v>999</v>
      </c>
      <c r="J2150" s="141" t="s">
        <v>4327</v>
      </c>
      <c r="K2150" s="141">
        <v>2260</v>
      </c>
      <c r="L2150" s="141">
        <v>1</v>
      </c>
      <c r="M2150" s="141">
        <v>0</v>
      </c>
      <c r="N2150" s="141">
        <v>1000</v>
      </c>
      <c r="O2150" s="141" t="s">
        <v>4381</v>
      </c>
      <c r="P2150" s="141"/>
    </row>
    <row r="2151" spans="1:16" ht="25.5">
      <c r="A2151" s="141">
        <v>76807</v>
      </c>
      <c r="B2151" s="141" t="s">
        <v>4325</v>
      </c>
      <c r="C2151" s="142">
        <v>41201</v>
      </c>
      <c r="D2151" s="141">
        <v>722</v>
      </c>
      <c r="E2151" s="141" t="str">
        <f t="shared" si="182"/>
        <v>001</v>
      </c>
      <c r="F2151" s="141" t="s">
        <v>4326</v>
      </c>
      <c r="G2151" s="141" t="str">
        <f t="shared" ref="G2151:G2156" si="187">"2187"</f>
        <v>2187</v>
      </c>
      <c r="H2151" s="141" t="s">
        <v>975</v>
      </c>
      <c r="I2151" s="141" t="str">
        <f t="shared" si="183"/>
        <v>999</v>
      </c>
      <c r="J2151" s="141" t="s">
        <v>4327</v>
      </c>
      <c r="K2151" s="141">
        <v>2182</v>
      </c>
      <c r="L2151" s="141">
        <v>20</v>
      </c>
      <c r="M2151" s="141">
        <v>0</v>
      </c>
      <c r="N2151" s="141">
        <v>86000</v>
      </c>
      <c r="O2151" s="141" t="s">
        <v>4339</v>
      </c>
      <c r="P2151" s="141" t="s">
        <v>4847</v>
      </c>
    </row>
    <row r="2152" spans="1:16" ht="25.5">
      <c r="A2152" s="141">
        <v>76807</v>
      </c>
      <c r="B2152" s="141" t="s">
        <v>4325</v>
      </c>
      <c r="C2152" s="142">
        <v>41201</v>
      </c>
      <c r="D2152" s="141">
        <v>722</v>
      </c>
      <c r="E2152" s="141" t="str">
        <f t="shared" si="182"/>
        <v>001</v>
      </c>
      <c r="F2152" s="141" t="s">
        <v>4326</v>
      </c>
      <c r="G2152" s="141" t="str">
        <f t="shared" si="187"/>
        <v>2187</v>
      </c>
      <c r="H2152" s="141" t="s">
        <v>975</v>
      </c>
      <c r="I2152" s="141" t="str">
        <f t="shared" si="183"/>
        <v>999</v>
      </c>
      <c r="J2152" s="141" t="s">
        <v>4327</v>
      </c>
      <c r="K2152" s="141">
        <v>2183</v>
      </c>
      <c r="L2152" s="141">
        <v>1</v>
      </c>
      <c r="M2152" s="141">
        <v>0</v>
      </c>
      <c r="N2152" s="141">
        <v>0</v>
      </c>
      <c r="O2152" s="141" t="s">
        <v>4330</v>
      </c>
      <c r="P2152" s="141" t="s">
        <v>4441</v>
      </c>
    </row>
    <row r="2153" spans="1:16" ht="25.5">
      <c r="A2153" s="141">
        <v>76807</v>
      </c>
      <c r="B2153" s="141" t="s">
        <v>4325</v>
      </c>
      <c r="C2153" s="142">
        <v>41201</v>
      </c>
      <c r="D2153" s="141">
        <v>722</v>
      </c>
      <c r="E2153" s="141" t="str">
        <f t="shared" si="182"/>
        <v>001</v>
      </c>
      <c r="F2153" s="141" t="s">
        <v>4326</v>
      </c>
      <c r="G2153" s="141" t="str">
        <f t="shared" si="187"/>
        <v>2187</v>
      </c>
      <c r="H2153" s="141" t="s">
        <v>975</v>
      </c>
      <c r="I2153" s="141" t="str">
        <f t="shared" si="183"/>
        <v>999</v>
      </c>
      <c r="J2153" s="141" t="s">
        <v>4327</v>
      </c>
      <c r="K2153" s="141">
        <v>2184</v>
      </c>
      <c r="L2153" s="141">
        <v>1</v>
      </c>
      <c r="M2153" s="141">
        <v>0</v>
      </c>
      <c r="N2153" s="141">
        <v>4000</v>
      </c>
      <c r="O2153" s="141" t="s">
        <v>4807</v>
      </c>
      <c r="P2153" s="141"/>
    </row>
    <row r="2154" spans="1:16" ht="25.5">
      <c r="A2154" s="141">
        <v>76807</v>
      </c>
      <c r="B2154" s="141" t="s">
        <v>4325</v>
      </c>
      <c r="C2154" s="142">
        <v>41201</v>
      </c>
      <c r="D2154" s="141">
        <v>722</v>
      </c>
      <c r="E2154" s="141" t="str">
        <f t="shared" si="182"/>
        <v>001</v>
      </c>
      <c r="F2154" s="141" t="s">
        <v>4326</v>
      </c>
      <c r="G2154" s="141" t="str">
        <f t="shared" si="187"/>
        <v>2187</v>
      </c>
      <c r="H2154" s="141" t="s">
        <v>975</v>
      </c>
      <c r="I2154" s="141" t="str">
        <f t="shared" si="183"/>
        <v>999</v>
      </c>
      <c r="J2154" s="141" t="s">
        <v>4327</v>
      </c>
      <c r="K2154" s="141">
        <v>2185</v>
      </c>
      <c r="L2154" s="141">
        <v>1</v>
      </c>
      <c r="M2154" s="141">
        <v>0</v>
      </c>
      <c r="N2154" s="141">
        <v>5000</v>
      </c>
      <c r="O2154" s="141" t="s">
        <v>4849</v>
      </c>
      <c r="P2154" s="141"/>
    </row>
    <row r="2155" spans="1:16" ht="25.5">
      <c r="A2155" s="141">
        <v>76807</v>
      </c>
      <c r="B2155" s="141" t="s">
        <v>4325</v>
      </c>
      <c r="C2155" s="142">
        <v>41201</v>
      </c>
      <c r="D2155" s="141">
        <v>722</v>
      </c>
      <c r="E2155" s="141" t="str">
        <f t="shared" si="182"/>
        <v>001</v>
      </c>
      <c r="F2155" s="141" t="s">
        <v>4326</v>
      </c>
      <c r="G2155" s="141" t="str">
        <f t="shared" si="187"/>
        <v>2187</v>
      </c>
      <c r="H2155" s="141" t="s">
        <v>975</v>
      </c>
      <c r="I2155" s="141" t="str">
        <f t="shared" si="183"/>
        <v>999</v>
      </c>
      <c r="J2155" s="141" t="s">
        <v>4327</v>
      </c>
      <c r="K2155" s="141">
        <v>2186</v>
      </c>
      <c r="L2155" s="141">
        <v>1</v>
      </c>
      <c r="M2155" s="141">
        <v>0</v>
      </c>
      <c r="N2155" s="141">
        <v>1000</v>
      </c>
      <c r="O2155" s="141" t="s">
        <v>4381</v>
      </c>
      <c r="P2155" s="141"/>
    </row>
    <row r="2156" spans="1:16" ht="25.5">
      <c r="A2156" s="141">
        <v>76807</v>
      </c>
      <c r="B2156" s="141" t="s">
        <v>4325</v>
      </c>
      <c r="C2156" s="142">
        <v>41201</v>
      </c>
      <c r="D2156" s="141">
        <v>722</v>
      </c>
      <c r="E2156" s="141" t="str">
        <f t="shared" si="182"/>
        <v>001</v>
      </c>
      <c r="F2156" s="141" t="s">
        <v>4326</v>
      </c>
      <c r="G2156" s="141" t="str">
        <f t="shared" si="187"/>
        <v>2187</v>
      </c>
      <c r="H2156" s="141" t="s">
        <v>975</v>
      </c>
      <c r="I2156" s="141" t="str">
        <f t="shared" si="183"/>
        <v>999</v>
      </c>
      <c r="J2156" s="141" t="s">
        <v>4327</v>
      </c>
      <c r="K2156" s="141">
        <v>2187</v>
      </c>
      <c r="L2156" s="141">
        <v>1</v>
      </c>
      <c r="M2156" s="141">
        <v>0</v>
      </c>
      <c r="N2156" s="141">
        <v>8000</v>
      </c>
      <c r="O2156" s="141" t="s">
        <v>4351</v>
      </c>
      <c r="P2156" s="141" t="s">
        <v>4528</v>
      </c>
    </row>
    <row r="2157" spans="1:16" ht="25.5">
      <c r="A2157" s="141">
        <v>76807</v>
      </c>
      <c r="B2157" s="141" t="s">
        <v>4325</v>
      </c>
      <c r="C2157" s="142">
        <v>41201</v>
      </c>
      <c r="D2157" s="141">
        <v>1277</v>
      </c>
      <c r="E2157" s="141" t="str">
        <f t="shared" si="182"/>
        <v>001</v>
      </c>
      <c r="F2157" s="141" t="s">
        <v>4326</v>
      </c>
      <c r="G2157" s="141" t="str">
        <f>"2188"</f>
        <v>2188</v>
      </c>
      <c r="H2157" s="141" t="s">
        <v>4137</v>
      </c>
      <c r="I2157" s="141" t="str">
        <f t="shared" si="183"/>
        <v>999</v>
      </c>
      <c r="J2157" s="141" t="s">
        <v>4327</v>
      </c>
      <c r="K2157" s="141">
        <v>3389</v>
      </c>
      <c r="L2157" s="141">
        <v>1</v>
      </c>
      <c r="M2157" s="141">
        <v>0</v>
      </c>
      <c r="N2157" s="141">
        <v>71000</v>
      </c>
      <c r="O2157" s="141" t="s">
        <v>4327</v>
      </c>
      <c r="P2157" s="141"/>
    </row>
    <row r="2158" spans="1:16" ht="25.5">
      <c r="A2158" s="141">
        <v>76807</v>
      </c>
      <c r="B2158" s="141" t="s">
        <v>4325</v>
      </c>
      <c r="C2158" s="142">
        <v>41201</v>
      </c>
      <c r="D2158" s="141">
        <v>461</v>
      </c>
      <c r="E2158" s="141" t="str">
        <f t="shared" si="182"/>
        <v>001</v>
      </c>
      <c r="F2158" s="141" t="s">
        <v>4326</v>
      </c>
      <c r="G2158" s="141" t="str">
        <f>"2234"</f>
        <v>2234</v>
      </c>
      <c r="H2158" s="141" t="s">
        <v>1664</v>
      </c>
      <c r="I2158" s="141" t="str">
        <f t="shared" si="183"/>
        <v>999</v>
      </c>
      <c r="J2158" s="141" t="s">
        <v>4327</v>
      </c>
      <c r="K2158" s="141">
        <v>967</v>
      </c>
      <c r="L2158" s="141">
        <v>1</v>
      </c>
      <c r="M2158" s="141">
        <v>0</v>
      </c>
      <c r="N2158" s="141">
        <v>15000</v>
      </c>
      <c r="O2158" s="141" t="s">
        <v>4450</v>
      </c>
      <c r="P2158" s="141" t="s">
        <v>4707</v>
      </c>
    </row>
    <row r="2159" spans="1:16" ht="25.5">
      <c r="A2159" s="141">
        <v>76807</v>
      </c>
      <c r="B2159" s="141" t="s">
        <v>4325</v>
      </c>
      <c r="C2159" s="142">
        <v>41201</v>
      </c>
      <c r="D2159" s="141">
        <v>331</v>
      </c>
      <c r="E2159" s="141" t="str">
        <f t="shared" si="182"/>
        <v>001</v>
      </c>
      <c r="F2159" s="141" t="s">
        <v>4326</v>
      </c>
      <c r="G2159" s="141" t="str">
        <f>"2271"</f>
        <v>2271</v>
      </c>
      <c r="H2159" s="141" t="s">
        <v>2854</v>
      </c>
      <c r="I2159" s="141" t="str">
        <f t="shared" si="183"/>
        <v>999</v>
      </c>
      <c r="J2159" s="141" t="s">
        <v>4327</v>
      </c>
      <c r="K2159" s="141">
        <v>427</v>
      </c>
      <c r="L2159" s="141">
        <v>1</v>
      </c>
      <c r="M2159" s="141">
        <v>0</v>
      </c>
      <c r="N2159" s="141">
        <v>4000</v>
      </c>
      <c r="O2159" s="141" t="s">
        <v>4330</v>
      </c>
      <c r="P2159" s="141" t="s">
        <v>4348</v>
      </c>
    </row>
    <row r="2160" spans="1:16" ht="25.5">
      <c r="A2160" s="141">
        <v>76807</v>
      </c>
      <c r="B2160" s="141" t="s">
        <v>4325</v>
      </c>
      <c r="C2160" s="142">
        <v>41201</v>
      </c>
      <c r="D2160" s="141">
        <v>331</v>
      </c>
      <c r="E2160" s="141" t="str">
        <f t="shared" si="182"/>
        <v>001</v>
      </c>
      <c r="F2160" s="141" t="s">
        <v>4326</v>
      </c>
      <c r="G2160" s="141" t="str">
        <f>"2271"</f>
        <v>2271</v>
      </c>
      <c r="H2160" s="141" t="s">
        <v>2854</v>
      </c>
      <c r="I2160" s="141" t="str">
        <f t="shared" si="183"/>
        <v>999</v>
      </c>
      <c r="J2160" s="141" t="s">
        <v>4327</v>
      </c>
      <c r="K2160" s="141">
        <v>428</v>
      </c>
      <c r="L2160" s="141">
        <v>1</v>
      </c>
      <c r="M2160" s="141">
        <v>0</v>
      </c>
      <c r="N2160" s="141">
        <v>1000</v>
      </c>
      <c r="O2160" s="141" t="s">
        <v>4397</v>
      </c>
      <c r="P2160" s="141" t="s">
        <v>4896</v>
      </c>
    </row>
    <row r="2161" spans="1:16" ht="25.5">
      <c r="A2161" s="141">
        <v>76807</v>
      </c>
      <c r="B2161" s="141" t="s">
        <v>4325</v>
      </c>
      <c r="C2161" s="142">
        <v>41201</v>
      </c>
      <c r="D2161" s="141">
        <v>713</v>
      </c>
      <c r="E2161" s="141" t="str">
        <f t="shared" si="182"/>
        <v>001</v>
      </c>
      <c r="F2161" s="141" t="s">
        <v>4326</v>
      </c>
      <c r="G2161" s="141" t="str">
        <f t="shared" ref="G2161:G2166" si="188">"2274"</f>
        <v>2274</v>
      </c>
      <c r="H2161" s="141" t="s">
        <v>2666</v>
      </c>
      <c r="I2161" s="141" t="str">
        <f t="shared" si="183"/>
        <v>999</v>
      </c>
      <c r="J2161" s="141" t="s">
        <v>4327</v>
      </c>
      <c r="K2161" s="141">
        <v>2073</v>
      </c>
      <c r="L2161" s="141">
        <v>1</v>
      </c>
      <c r="M2161" s="141">
        <v>0</v>
      </c>
      <c r="N2161" s="141">
        <v>21000</v>
      </c>
      <c r="O2161" s="141" t="s">
        <v>4337</v>
      </c>
      <c r="P2161" s="141" t="s">
        <v>4897</v>
      </c>
    </row>
    <row r="2162" spans="1:16" ht="25.5">
      <c r="A2162" s="141">
        <v>76807</v>
      </c>
      <c r="B2162" s="141" t="s">
        <v>4325</v>
      </c>
      <c r="C2162" s="142">
        <v>41201</v>
      </c>
      <c r="D2162" s="141">
        <v>713</v>
      </c>
      <c r="E2162" s="141" t="str">
        <f t="shared" si="182"/>
        <v>001</v>
      </c>
      <c r="F2162" s="141" t="s">
        <v>4326</v>
      </c>
      <c r="G2162" s="141" t="str">
        <f t="shared" si="188"/>
        <v>2274</v>
      </c>
      <c r="H2162" s="141" t="s">
        <v>2666</v>
      </c>
      <c r="I2162" s="141" t="str">
        <f t="shared" si="183"/>
        <v>999</v>
      </c>
      <c r="J2162" s="141" t="s">
        <v>4327</v>
      </c>
      <c r="K2162" s="141">
        <v>2074</v>
      </c>
      <c r="L2162" s="141">
        <v>1</v>
      </c>
      <c r="M2162" s="141">
        <v>0</v>
      </c>
      <c r="N2162" s="141">
        <v>0</v>
      </c>
      <c r="O2162" s="141" t="s">
        <v>4337</v>
      </c>
      <c r="P2162" s="141" t="s">
        <v>4898</v>
      </c>
    </row>
    <row r="2163" spans="1:16" ht="25.5">
      <c r="A2163" s="141">
        <v>76807</v>
      </c>
      <c r="B2163" s="141" t="s">
        <v>4325</v>
      </c>
      <c r="C2163" s="142">
        <v>41201</v>
      </c>
      <c r="D2163" s="141">
        <v>713</v>
      </c>
      <c r="E2163" s="141" t="str">
        <f t="shared" si="182"/>
        <v>001</v>
      </c>
      <c r="F2163" s="141" t="s">
        <v>4326</v>
      </c>
      <c r="G2163" s="141" t="str">
        <f t="shared" si="188"/>
        <v>2274</v>
      </c>
      <c r="H2163" s="141" t="s">
        <v>2666</v>
      </c>
      <c r="I2163" s="141" t="str">
        <f t="shared" si="183"/>
        <v>999</v>
      </c>
      <c r="J2163" s="141" t="s">
        <v>4327</v>
      </c>
      <c r="K2163" s="141">
        <v>2075</v>
      </c>
      <c r="L2163" s="141">
        <v>1</v>
      </c>
      <c r="M2163" s="141">
        <v>0</v>
      </c>
      <c r="N2163" s="141">
        <v>29000</v>
      </c>
      <c r="O2163" s="141" t="s">
        <v>4659</v>
      </c>
      <c r="P2163" s="141" t="s">
        <v>4899</v>
      </c>
    </row>
    <row r="2164" spans="1:16" ht="25.5">
      <c r="A2164" s="141">
        <v>76807</v>
      </c>
      <c r="B2164" s="141" t="s">
        <v>4325</v>
      </c>
      <c r="C2164" s="142">
        <v>41201</v>
      </c>
      <c r="D2164" s="141">
        <v>713</v>
      </c>
      <c r="E2164" s="141" t="str">
        <f t="shared" si="182"/>
        <v>001</v>
      </c>
      <c r="F2164" s="141" t="s">
        <v>4326</v>
      </c>
      <c r="G2164" s="141" t="str">
        <f t="shared" si="188"/>
        <v>2274</v>
      </c>
      <c r="H2164" s="141" t="s">
        <v>2666</v>
      </c>
      <c r="I2164" s="141" t="str">
        <f t="shared" si="183"/>
        <v>999</v>
      </c>
      <c r="J2164" s="141" t="s">
        <v>4327</v>
      </c>
      <c r="K2164" s="141">
        <v>2076</v>
      </c>
      <c r="L2164" s="141">
        <v>1</v>
      </c>
      <c r="M2164" s="141">
        <v>0</v>
      </c>
      <c r="N2164" s="141">
        <v>0</v>
      </c>
      <c r="O2164" s="141" t="s">
        <v>4330</v>
      </c>
      <c r="P2164" s="141" t="s">
        <v>4441</v>
      </c>
    </row>
    <row r="2165" spans="1:16" ht="25.5">
      <c r="A2165" s="141">
        <v>76807</v>
      </c>
      <c r="B2165" s="141" t="s">
        <v>4325</v>
      </c>
      <c r="C2165" s="142">
        <v>41201</v>
      </c>
      <c r="D2165" s="141">
        <v>713</v>
      </c>
      <c r="E2165" s="141" t="str">
        <f t="shared" si="182"/>
        <v>001</v>
      </c>
      <c r="F2165" s="141" t="s">
        <v>4326</v>
      </c>
      <c r="G2165" s="141" t="str">
        <f t="shared" si="188"/>
        <v>2274</v>
      </c>
      <c r="H2165" s="141" t="s">
        <v>2666</v>
      </c>
      <c r="I2165" s="141" t="str">
        <f t="shared" si="183"/>
        <v>999</v>
      </c>
      <c r="J2165" s="141" t="s">
        <v>4327</v>
      </c>
      <c r="K2165" s="141">
        <v>2077</v>
      </c>
      <c r="L2165" s="141">
        <v>1</v>
      </c>
      <c r="M2165" s="141">
        <v>0</v>
      </c>
      <c r="N2165" s="141">
        <v>13000</v>
      </c>
      <c r="O2165" s="141" t="s">
        <v>4364</v>
      </c>
      <c r="P2165" s="141" t="s">
        <v>4900</v>
      </c>
    </row>
    <row r="2166" spans="1:16" ht="25.5">
      <c r="A2166" s="141">
        <v>76807</v>
      </c>
      <c r="B2166" s="141" t="s">
        <v>4325</v>
      </c>
      <c r="C2166" s="142">
        <v>41201</v>
      </c>
      <c r="D2166" s="141">
        <v>713</v>
      </c>
      <c r="E2166" s="141" t="str">
        <f t="shared" si="182"/>
        <v>001</v>
      </c>
      <c r="F2166" s="141" t="s">
        <v>4326</v>
      </c>
      <c r="G2166" s="141" t="str">
        <f t="shared" si="188"/>
        <v>2274</v>
      </c>
      <c r="H2166" s="141" t="s">
        <v>2666</v>
      </c>
      <c r="I2166" s="141" t="str">
        <f t="shared" si="183"/>
        <v>999</v>
      </c>
      <c r="J2166" s="141" t="s">
        <v>4327</v>
      </c>
      <c r="K2166" s="141">
        <v>2078</v>
      </c>
      <c r="L2166" s="141">
        <v>1</v>
      </c>
      <c r="M2166" s="141">
        <v>0</v>
      </c>
      <c r="N2166" s="141">
        <v>5000</v>
      </c>
      <c r="O2166" s="141" t="s">
        <v>4364</v>
      </c>
      <c r="P2166" s="141" t="s">
        <v>4787</v>
      </c>
    </row>
    <row r="2167" spans="1:16" ht="25.5">
      <c r="A2167" s="141">
        <v>76807</v>
      </c>
      <c r="B2167" s="141" t="s">
        <v>4325</v>
      </c>
      <c r="C2167" s="142">
        <v>41201</v>
      </c>
      <c r="D2167" s="141">
        <v>462</v>
      </c>
      <c r="E2167" s="141" t="str">
        <f t="shared" si="182"/>
        <v>001</v>
      </c>
      <c r="F2167" s="141" t="s">
        <v>4326</v>
      </c>
      <c r="G2167" s="141" t="str">
        <f>"2275"</f>
        <v>2275</v>
      </c>
      <c r="H2167" s="141" t="s">
        <v>690</v>
      </c>
      <c r="I2167" s="141" t="str">
        <f t="shared" si="183"/>
        <v>999</v>
      </c>
      <c r="J2167" s="141" t="s">
        <v>4327</v>
      </c>
      <c r="K2167" s="141">
        <v>968</v>
      </c>
      <c r="L2167" s="141">
        <v>1</v>
      </c>
      <c r="M2167" s="141">
        <v>0</v>
      </c>
      <c r="N2167" s="141">
        <v>18000</v>
      </c>
      <c r="O2167" s="141" t="s">
        <v>4468</v>
      </c>
      <c r="P2167" s="141" t="s">
        <v>4528</v>
      </c>
    </row>
    <row r="2168" spans="1:16" ht="25.5">
      <c r="A2168" s="141">
        <v>76807</v>
      </c>
      <c r="B2168" s="141" t="s">
        <v>4325</v>
      </c>
      <c r="C2168" s="142">
        <v>41201</v>
      </c>
      <c r="D2168" s="141">
        <v>462</v>
      </c>
      <c r="E2168" s="141" t="str">
        <f t="shared" si="182"/>
        <v>001</v>
      </c>
      <c r="F2168" s="141" t="s">
        <v>4326</v>
      </c>
      <c r="G2168" s="141" t="str">
        <f>"2275"</f>
        <v>2275</v>
      </c>
      <c r="H2168" s="141" t="s">
        <v>690</v>
      </c>
      <c r="I2168" s="141" t="str">
        <f t="shared" si="183"/>
        <v>999</v>
      </c>
      <c r="J2168" s="141" t="s">
        <v>4327</v>
      </c>
      <c r="K2168" s="141">
        <v>969</v>
      </c>
      <c r="L2168" s="141">
        <v>1</v>
      </c>
      <c r="M2168" s="141">
        <v>0</v>
      </c>
      <c r="N2168" s="141">
        <v>1000</v>
      </c>
      <c r="O2168" s="141" t="s">
        <v>4434</v>
      </c>
      <c r="P2168" s="141" t="s">
        <v>4901</v>
      </c>
    </row>
    <row r="2169" spans="1:16" ht="25.5">
      <c r="A2169" s="141">
        <v>76807</v>
      </c>
      <c r="B2169" s="141" t="s">
        <v>4325</v>
      </c>
      <c r="C2169" s="142">
        <v>41201</v>
      </c>
      <c r="D2169" s="141">
        <v>462</v>
      </c>
      <c r="E2169" s="141" t="str">
        <f t="shared" si="182"/>
        <v>001</v>
      </c>
      <c r="F2169" s="141" t="s">
        <v>4326</v>
      </c>
      <c r="G2169" s="141" t="str">
        <f>"2275"</f>
        <v>2275</v>
      </c>
      <c r="H2169" s="141" t="s">
        <v>690</v>
      </c>
      <c r="I2169" s="141" t="str">
        <f t="shared" si="183"/>
        <v>999</v>
      </c>
      <c r="J2169" s="141" t="s">
        <v>4327</v>
      </c>
      <c r="K2169" s="141">
        <v>970</v>
      </c>
      <c r="L2169" s="141">
        <v>1</v>
      </c>
      <c r="M2169" s="141">
        <v>0</v>
      </c>
      <c r="N2169" s="141">
        <v>2000</v>
      </c>
      <c r="O2169" s="141" t="s">
        <v>4330</v>
      </c>
      <c r="P2169" s="141" t="s">
        <v>4356</v>
      </c>
    </row>
    <row r="2170" spans="1:16" ht="25.5">
      <c r="A2170" s="141">
        <v>76807</v>
      </c>
      <c r="B2170" s="141" t="s">
        <v>4325</v>
      </c>
      <c r="C2170" s="142">
        <v>41201</v>
      </c>
      <c r="D2170" s="141">
        <v>462</v>
      </c>
      <c r="E2170" s="141" t="str">
        <f t="shared" si="182"/>
        <v>001</v>
      </c>
      <c r="F2170" s="141" t="s">
        <v>4326</v>
      </c>
      <c r="G2170" s="141" t="str">
        <f>"2275"</f>
        <v>2275</v>
      </c>
      <c r="H2170" s="141" t="s">
        <v>690</v>
      </c>
      <c r="I2170" s="141" t="str">
        <f t="shared" si="183"/>
        <v>999</v>
      </c>
      <c r="J2170" s="141" t="s">
        <v>4327</v>
      </c>
      <c r="K2170" s="141">
        <v>971</v>
      </c>
      <c r="L2170" s="141">
        <v>1</v>
      </c>
      <c r="M2170" s="141">
        <v>0</v>
      </c>
      <c r="N2170" s="141">
        <v>2000</v>
      </c>
      <c r="O2170" s="141" t="s">
        <v>4330</v>
      </c>
      <c r="P2170" s="141" t="s">
        <v>4902</v>
      </c>
    </row>
    <row r="2171" spans="1:16" ht="25.5">
      <c r="A2171" s="141">
        <v>76807</v>
      </c>
      <c r="B2171" s="141" t="s">
        <v>4325</v>
      </c>
      <c r="C2171" s="142">
        <v>41201</v>
      </c>
      <c r="D2171" s="141">
        <v>332</v>
      </c>
      <c r="E2171" s="141" t="str">
        <f t="shared" si="182"/>
        <v>001</v>
      </c>
      <c r="F2171" s="141" t="s">
        <v>4326</v>
      </c>
      <c r="G2171" s="141" t="str">
        <f t="shared" ref="G2171:G2180" si="189">"2276"</f>
        <v>2276</v>
      </c>
      <c r="H2171" s="141" t="s">
        <v>2847</v>
      </c>
      <c r="I2171" s="141" t="str">
        <f t="shared" si="183"/>
        <v>999</v>
      </c>
      <c r="J2171" s="141" t="s">
        <v>4327</v>
      </c>
      <c r="K2171" s="141">
        <v>429</v>
      </c>
      <c r="L2171" s="141">
        <v>1</v>
      </c>
      <c r="M2171" s="141">
        <v>0</v>
      </c>
      <c r="N2171" s="141">
        <v>105000</v>
      </c>
      <c r="O2171" s="141" t="s">
        <v>4463</v>
      </c>
      <c r="P2171" s="141" t="s">
        <v>4903</v>
      </c>
    </row>
    <row r="2172" spans="1:16" ht="25.5">
      <c r="A2172" s="141">
        <v>76807</v>
      </c>
      <c r="B2172" s="141" t="s">
        <v>4325</v>
      </c>
      <c r="C2172" s="142">
        <v>41201</v>
      </c>
      <c r="D2172" s="141">
        <v>332</v>
      </c>
      <c r="E2172" s="141" t="str">
        <f t="shared" si="182"/>
        <v>001</v>
      </c>
      <c r="F2172" s="141" t="s">
        <v>4326</v>
      </c>
      <c r="G2172" s="141" t="str">
        <f t="shared" si="189"/>
        <v>2276</v>
      </c>
      <c r="H2172" s="141" t="s">
        <v>2847</v>
      </c>
      <c r="I2172" s="141" t="str">
        <f t="shared" si="183"/>
        <v>999</v>
      </c>
      <c r="J2172" s="141" t="s">
        <v>4327</v>
      </c>
      <c r="K2172" s="141">
        <v>430</v>
      </c>
      <c r="L2172" s="141">
        <v>1</v>
      </c>
      <c r="M2172" s="141">
        <v>0</v>
      </c>
      <c r="N2172" s="141">
        <v>6000</v>
      </c>
      <c r="O2172" s="141" t="s">
        <v>4337</v>
      </c>
      <c r="P2172" s="141" t="s">
        <v>4707</v>
      </c>
    </row>
    <row r="2173" spans="1:16" ht="25.5">
      <c r="A2173" s="141">
        <v>76807</v>
      </c>
      <c r="B2173" s="141" t="s">
        <v>4325</v>
      </c>
      <c r="C2173" s="142">
        <v>41201</v>
      </c>
      <c r="D2173" s="141">
        <v>332</v>
      </c>
      <c r="E2173" s="141" t="str">
        <f t="shared" si="182"/>
        <v>001</v>
      </c>
      <c r="F2173" s="141" t="s">
        <v>4326</v>
      </c>
      <c r="G2173" s="141" t="str">
        <f t="shared" si="189"/>
        <v>2276</v>
      </c>
      <c r="H2173" s="141" t="s">
        <v>2847</v>
      </c>
      <c r="I2173" s="141" t="str">
        <f t="shared" si="183"/>
        <v>999</v>
      </c>
      <c r="J2173" s="141" t="s">
        <v>4327</v>
      </c>
      <c r="K2173" s="141">
        <v>431</v>
      </c>
      <c r="L2173" s="141">
        <v>3</v>
      </c>
      <c r="M2173" s="141">
        <v>0</v>
      </c>
      <c r="N2173" s="141">
        <v>7000</v>
      </c>
      <c r="O2173" s="141" t="s">
        <v>4334</v>
      </c>
      <c r="P2173" s="141" t="s">
        <v>4340</v>
      </c>
    </row>
    <row r="2174" spans="1:16" ht="25.5">
      <c r="A2174" s="141">
        <v>76807</v>
      </c>
      <c r="B2174" s="141" t="s">
        <v>4325</v>
      </c>
      <c r="C2174" s="142">
        <v>41201</v>
      </c>
      <c r="D2174" s="141">
        <v>332</v>
      </c>
      <c r="E2174" s="141" t="str">
        <f t="shared" si="182"/>
        <v>001</v>
      </c>
      <c r="F2174" s="141" t="s">
        <v>4326</v>
      </c>
      <c r="G2174" s="141" t="str">
        <f t="shared" si="189"/>
        <v>2276</v>
      </c>
      <c r="H2174" s="141" t="s">
        <v>2847</v>
      </c>
      <c r="I2174" s="141" t="str">
        <f t="shared" si="183"/>
        <v>999</v>
      </c>
      <c r="J2174" s="141" t="s">
        <v>4327</v>
      </c>
      <c r="K2174" s="141">
        <v>432</v>
      </c>
      <c r="L2174" s="141">
        <v>3</v>
      </c>
      <c r="M2174" s="141">
        <v>0</v>
      </c>
      <c r="N2174" s="141">
        <v>9000</v>
      </c>
      <c r="O2174" s="141" t="s">
        <v>4334</v>
      </c>
      <c r="P2174" s="141" t="s">
        <v>4335</v>
      </c>
    </row>
    <row r="2175" spans="1:16" ht="25.5">
      <c r="A2175" s="141">
        <v>76807</v>
      </c>
      <c r="B2175" s="141" t="s">
        <v>4325</v>
      </c>
      <c r="C2175" s="142">
        <v>41201</v>
      </c>
      <c r="D2175" s="141">
        <v>332</v>
      </c>
      <c r="E2175" s="141" t="str">
        <f t="shared" si="182"/>
        <v>001</v>
      </c>
      <c r="F2175" s="141" t="s">
        <v>4326</v>
      </c>
      <c r="G2175" s="141" t="str">
        <f t="shared" si="189"/>
        <v>2276</v>
      </c>
      <c r="H2175" s="141" t="s">
        <v>2847</v>
      </c>
      <c r="I2175" s="141" t="str">
        <f t="shared" si="183"/>
        <v>999</v>
      </c>
      <c r="J2175" s="141" t="s">
        <v>4327</v>
      </c>
      <c r="K2175" s="141">
        <v>433</v>
      </c>
      <c r="L2175" s="141">
        <v>1</v>
      </c>
      <c r="M2175" s="141">
        <v>0</v>
      </c>
      <c r="N2175" s="141">
        <v>4000</v>
      </c>
      <c r="O2175" s="141" t="s">
        <v>4334</v>
      </c>
      <c r="P2175" s="141" t="s">
        <v>4604</v>
      </c>
    </row>
    <row r="2176" spans="1:16" ht="25.5">
      <c r="A2176" s="141">
        <v>76807</v>
      </c>
      <c r="B2176" s="141" t="s">
        <v>4325</v>
      </c>
      <c r="C2176" s="142">
        <v>41201</v>
      </c>
      <c r="D2176" s="141">
        <v>332</v>
      </c>
      <c r="E2176" s="141" t="str">
        <f t="shared" si="182"/>
        <v>001</v>
      </c>
      <c r="F2176" s="141" t="s">
        <v>4326</v>
      </c>
      <c r="G2176" s="141" t="str">
        <f t="shared" si="189"/>
        <v>2276</v>
      </c>
      <c r="H2176" s="141" t="s">
        <v>2847</v>
      </c>
      <c r="I2176" s="141" t="str">
        <f t="shared" si="183"/>
        <v>999</v>
      </c>
      <c r="J2176" s="141" t="s">
        <v>4327</v>
      </c>
      <c r="K2176" s="141">
        <v>434</v>
      </c>
      <c r="L2176" s="141">
        <v>3</v>
      </c>
      <c r="M2176" s="141">
        <v>0</v>
      </c>
      <c r="N2176" s="141">
        <v>13000</v>
      </c>
      <c r="O2176" s="141" t="s">
        <v>4334</v>
      </c>
      <c r="P2176" s="141" t="s">
        <v>4605</v>
      </c>
    </row>
    <row r="2177" spans="1:16" ht="25.5">
      <c r="A2177" s="141">
        <v>76807</v>
      </c>
      <c r="B2177" s="141" t="s">
        <v>4325</v>
      </c>
      <c r="C2177" s="142">
        <v>41201</v>
      </c>
      <c r="D2177" s="141">
        <v>332</v>
      </c>
      <c r="E2177" s="141" t="str">
        <f t="shared" si="182"/>
        <v>001</v>
      </c>
      <c r="F2177" s="141" t="s">
        <v>4326</v>
      </c>
      <c r="G2177" s="141" t="str">
        <f t="shared" si="189"/>
        <v>2276</v>
      </c>
      <c r="H2177" s="141" t="s">
        <v>2847</v>
      </c>
      <c r="I2177" s="141" t="str">
        <f t="shared" si="183"/>
        <v>999</v>
      </c>
      <c r="J2177" s="141" t="s">
        <v>4327</v>
      </c>
      <c r="K2177" s="141">
        <v>435</v>
      </c>
      <c r="L2177" s="141">
        <v>1</v>
      </c>
      <c r="M2177" s="141">
        <v>0</v>
      </c>
      <c r="N2177" s="141">
        <v>4000</v>
      </c>
      <c r="O2177" s="141" t="s">
        <v>4807</v>
      </c>
      <c r="P2177" s="141"/>
    </row>
    <row r="2178" spans="1:16" ht="25.5">
      <c r="A2178" s="141">
        <v>76807</v>
      </c>
      <c r="B2178" s="141" t="s">
        <v>4325</v>
      </c>
      <c r="C2178" s="142">
        <v>41201</v>
      </c>
      <c r="D2178" s="141">
        <v>332</v>
      </c>
      <c r="E2178" s="141" t="str">
        <f t="shared" ref="E2178:E2241" si="190">"001"</f>
        <v>001</v>
      </c>
      <c r="F2178" s="141" t="s">
        <v>4326</v>
      </c>
      <c r="G2178" s="141" t="str">
        <f t="shared" si="189"/>
        <v>2276</v>
      </c>
      <c r="H2178" s="141" t="s">
        <v>2847</v>
      </c>
      <c r="I2178" s="141" t="str">
        <f t="shared" ref="I2178:I2241" si="191">"999"</f>
        <v>999</v>
      </c>
      <c r="J2178" s="141" t="s">
        <v>4327</v>
      </c>
      <c r="K2178" s="141">
        <v>436</v>
      </c>
      <c r="L2178" s="141">
        <v>1</v>
      </c>
      <c r="M2178" s="141">
        <v>0</v>
      </c>
      <c r="N2178" s="141">
        <v>5000</v>
      </c>
      <c r="O2178" s="141" t="s">
        <v>4397</v>
      </c>
      <c r="P2178" s="141" t="s">
        <v>4530</v>
      </c>
    </row>
    <row r="2179" spans="1:16" ht="25.5">
      <c r="A2179" s="141">
        <v>76807</v>
      </c>
      <c r="B2179" s="141" t="s">
        <v>4325</v>
      </c>
      <c r="C2179" s="142">
        <v>41201</v>
      </c>
      <c r="D2179" s="141">
        <v>332</v>
      </c>
      <c r="E2179" s="141" t="str">
        <f t="shared" si="190"/>
        <v>001</v>
      </c>
      <c r="F2179" s="141" t="s">
        <v>4326</v>
      </c>
      <c r="G2179" s="141" t="str">
        <f t="shared" si="189"/>
        <v>2276</v>
      </c>
      <c r="H2179" s="141" t="s">
        <v>2847</v>
      </c>
      <c r="I2179" s="141" t="str">
        <f t="shared" si="191"/>
        <v>999</v>
      </c>
      <c r="J2179" s="141" t="s">
        <v>4327</v>
      </c>
      <c r="K2179" s="141">
        <v>437</v>
      </c>
      <c r="L2179" s="141">
        <v>1</v>
      </c>
      <c r="M2179" s="141">
        <v>0</v>
      </c>
      <c r="N2179" s="141">
        <v>30000</v>
      </c>
      <c r="O2179" s="141" t="s">
        <v>4368</v>
      </c>
      <c r="P2179" s="141"/>
    </row>
    <row r="2180" spans="1:16" ht="25.5">
      <c r="A2180" s="141">
        <v>76807</v>
      </c>
      <c r="B2180" s="141" t="s">
        <v>4325</v>
      </c>
      <c r="C2180" s="142">
        <v>41201</v>
      </c>
      <c r="D2180" s="141">
        <v>332</v>
      </c>
      <c r="E2180" s="141" t="str">
        <f t="shared" si="190"/>
        <v>001</v>
      </c>
      <c r="F2180" s="141" t="s">
        <v>4326</v>
      </c>
      <c r="G2180" s="141" t="str">
        <f t="shared" si="189"/>
        <v>2276</v>
      </c>
      <c r="H2180" s="141" t="s">
        <v>2847</v>
      </c>
      <c r="I2180" s="141" t="str">
        <f t="shared" si="191"/>
        <v>999</v>
      </c>
      <c r="J2180" s="141" t="s">
        <v>4327</v>
      </c>
      <c r="K2180" s="141">
        <v>438</v>
      </c>
      <c r="L2180" s="141">
        <v>1</v>
      </c>
      <c r="M2180" s="141">
        <v>0</v>
      </c>
      <c r="N2180" s="141">
        <v>9000</v>
      </c>
      <c r="O2180" s="141" t="s">
        <v>4482</v>
      </c>
      <c r="P2180" s="141" t="s">
        <v>4684</v>
      </c>
    </row>
    <row r="2181" spans="1:16" ht="25.5">
      <c r="A2181" s="141">
        <v>76807</v>
      </c>
      <c r="B2181" s="141" t="s">
        <v>4325</v>
      </c>
      <c r="C2181" s="142">
        <v>41201</v>
      </c>
      <c r="D2181" s="141">
        <v>435</v>
      </c>
      <c r="E2181" s="141" t="str">
        <f t="shared" si="190"/>
        <v>001</v>
      </c>
      <c r="F2181" s="141" t="s">
        <v>4326</v>
      </c>
      <c r="G2181" s="141" t="str">
        <f t="shared" ref="G2181:G2186" si="192">"2283"</f>
        <v>2283</v>
      </c>
      <c r="H2181" s="141" t="s">
        <v>966</v>
      </c>
      <c r="I2181" s="141" t="str">
        <f t="shared" si="191"/>
        <v>999</v>
      </c>
      <c r="J2181" s="141" t="s">
        <v>4327</v>
      </c>
      <c r="K2181" s="141">
        <v>1266</v>
      </c>
      <c r="L2181" s="141">
        <v>1</v>
      </c>
      <c r="M2181" s="141">
        <v>0</v>
      </c>
      <c r="N2181" s="141">
        <v>2000</v>
      </c>
      <c r="O2181" s="141" t="s">
        <v>4330</v>
      </c>
      <c r="P2181" s="141" t="s">
        <v>4443</v>
      </c>
    </row>
    <row r="2182" spans="1:16" ht="25.5">
      <c r="A2182" s="141">
        <v>76807</v>
      </c>
      <c r="B2182" s="141" t="s">
        <v>4325</v>
      </c>
      <c r="C2182" s="142">
        <v>41201</v>
      </c>
      <c r="D2182" s="141">
        <v>435</v>
      </c>
      <c r="E2182" s="141" t="str">
        <f t="shared" si="190"/>
        <v>001</v>
      </c>
      <c r="F2182" s="141" t="s">
        <v>4326</v>
      </c>
      <c r="G2182" s="141" t="str">
        <f t="shared" si="192"/>
        <v>2283</v>
      </c>
      <c r="H2182" s="141" t="s">
        <v>966</v>
      </c>
      <c r="I2182" s="141" t="str">
        <f t="shared" si="191"/>
        <v>999</v>
      </c>
      <c r="J2182" s="141" t="s">
        <v>4327</v>
      </c>
      <c r="K2182" s="141">
        <v>1267</v>
      </c>
      <c r="L2182" s="141">
        <v>1</v>
      </c>
      <c r="M2182" s="141">
        <v>0</v>
      </c>
      <c r="N2182" s="141">
        <v>8000</v>
      </c>
      <c r="O2182" s="141" t="s">
        <v>4848</v>
      </c>
      <c r="P2182" s="141" t="s">
        <v>4689</v>
      </c>
    </row>
    <row r="2183" spans="1:16" ht="25.5">
      <c r="A2183" s="141">
        <v>76807</v>
      </c>
      <c r="B2183" s="141" t="s">
        <v>4325</v>
      </c>
      <c r="C2183" s="142">
        <v>41201</v>
      </c>
      <c r="D2183" s="141">
        <v>435</v>
      </c>
      <c r="E2183" s="141" t="str">
        <f t="shared" si="190"/>
        <v>001</v>
      </c>
      <c r="F2183" s="141" t="s">
        <v>4326</v>
      </c>
      <c r="G2183" s="141" t="str">
        <f t="shared" si="192"/>
        <v>2283</v>
      </c>
      <c r="H2183" s="141" t="s">
        <v>966</v>
      </c>
      <c r="I2183" s="141" t="str">
        <f t="shared" si="191"/>
        <v>999</v>
      </c>
      <c r="J2183" s="141" t="s">
        <v>4327</v>
      </c>
      <c r="K2183" s="141">
        <v>1268</v>
      </c>
      <c r="L2183" s="141">
        <v>1</v>
      </c>
      <c r="M2183" s="141">
        <v>0</v>
      </c>
      <c r="N2183" s="141">
        <v>4000</v>
      </c>
      <c r="O2183" s="141" t="s">
        <v>4807</v>
      </c>
      <c r="P2183" s="141"/>
    </row>
    <row r="2184" spans="1:16" ht="25.5">
      <c r="A2184" s="141">
        <v>76807</v>
      </c>
      <c r="B2184" s="141" t="s">
        <v>4325</v>
      </c>
      <c r="C2184" s="142">
        <v>41201</v>
      </c>
      <c r="D2184" s="141">
        <v>435</v>
      </c>
      <c r="E2184" s="141" t="str">
        <f t="shared" si="190"/>
        <v>001</v>
      </c>
      <c r="F2184" s="141" t="s">
        <v>4326</v>
      </c>
      <c r="G2184" s="141" t="str">
        <f t="shared" si="192"/>
        <v>2283</v>
      </c>
      <c r="H2184" s="141" t="s">
        <v>966</v>
      </c>
      <c r="I2184" s="141" t="str">
        <f t="shared" si="191"/>
        <v>999</v>
      </c>
      <c r="J2184" s="141" t="s">
        <v>4327</v>
      </c>
      <c r="K2184" s="141">
        <v>1269</v>
      </c>
      <c r="L2184" s="141">
        <v>6</v>
      </c>
      <c r="M2184" s="141">
        <v>0</v>
      </c>
      <c r="N2184" s="141">
        <v>15000</v>
      </c>
      <c r="O2184" s="141" t="s">
        <v>4334</v>
      </c>
      <c r="P2184" s="141" t="s">
        <v>4340</v>
      </c>
    </row>
    <row r="2185" spans="1:16" ht="25.5">
      <c r="A2185" s="141">
        <v>76807</v>
      </c>
      <c r="B2185" s="141" t="s">
        <v>4325</v>
      </c>
      <c r="C2185" s="142">
        <v>41201</v>
      </c>
      <c r="D2185" s="141">
        <v>435</v>
      </c>
      <c r="E2185" s="141" t="str">
        <f t="shared" si="190"/>
        <v>001</v>
      </c>
      <c r="F2185" s="141" t="s">
        <v>4326</v>
      </c>
      <c r="G2185" s="141" t="str">
        <f t="shared" si="192"/>
        <v>2283</v>
      </c>
      <c r="H2185" s="141" t="s">
        <v>966</v>
      </c>
      <c r="I2185" s="141" t="str">
        <f t="shared" si="191"/>
        <v>999</v>
      </c>
      <c r="J2185" s="141" t="s">
        <v>4327</v>
      </c>
      <c r="K2185" s="141">
        <v>1270</v>
      </c>
      <c r="L2185" s="141">
        <v>1</v>
      </c>
      <c r="M2185" s="141">
        <v>0</v>
      </c>
      <c r="N2185" s="141">
        <v>2000</v>
      </c>
      <c r="O2185" s="141" t="s">
        <v>4351</v>
      </c>
      <c r="P2185" s="141" t="s">
        <v>4702</v>
      </c>
    </row>
    <row r="2186" spans="1:16" ht="25.5">
      <c r="A2186" s="141">
        <v>76807</v>
      </c>
      <c r="B2186" s="141" t="s">
        <v>4325</v>
      </c>
      <c r="C2186" s="142">
        <v>41201</v>
      </c>
      <c r="D2186" s="141">
        <v>435</v>
      </c>
      <c r="E2186" s="141" t="str">
        <f t="shared" si="190"/>
        <v>001</v>
      </c>
      <c r="F2186" s="141" t="s">
        <v>4326</v>
      </c>
      <c r="G2186" s="141" t="str">
        <f t="shared" si="192"/>
        <v>2283</v>
      </c>
      <c r="H2186" s="141" t="s">
        <v>966</v>
      </c>
      <c r="I2186" s="141" t="str">
        <f t="shared" si="191"/>
        <v>999</v>
      </c>
      <c r="J2186" s="141" t="s">
        <v>4327</v>
      </c>
      <c r="K2186" s="141">
        <v>1271</v>
      </c>
      <c r="L2186" s="141">
        <v>1</v>
      </c>
      <c r="M2186" s="141">
        <v>0</v>
      </c>
      <c r="N2186" s="141">
        <v>9000</v>
      </c>
      <c r="O2186" s="141" t="s">
        <v>4373</v>
      </c>
      <c r="P2186" s="141" t="s">
        <v>4795</v>
      </c>
    </row>
    <row r="2187" spans="1:16" ht="25.5">
      <c r="A2187" s="141">
        <v>76807</v>
      </c>
      <c r="B2187" s="141" t="s">
        <v>4325</v>
      </c>
      <c r="C2187" s="142">
        <v>41201</v>
      </c>
      <c r="D2187" s="141">
        <v>712</v>
      </c>
      <c r="E2187" s="141" t="str">
        <f t="shared" si="190"/>
        <v>001</v>
      </c>
      <c r="F2187" s="141" t="s">
        <v>4326</v>
      </c>
      <c r="G2187" s="141" t="str">
        <f t="shared" ref="G2187:G2192" si="193">"2284"</f>
        <v>2284</v>
      </c>
      <c r="H2187" s="141" t="s">
        <v>977</v>
      </c>
      <c r="I2187" s="141" t="str">
        <f t="shared" si="191"/>
        <v>999</v>
      </c>
      <c r="J2187" s="141" t="s">
        <v>4327</v>
      </c>
      <c r="K2187" s="141">
        <v>2067</v>
      </c>
      <c r="L2187" s="141">
        <v>1</v>
      </c>
      <c r="M2187" s="141">
        <v>0</v>
      </c>
      <c r="N2187" s="141">
        <v>5000</v>
      </c>
      <c r="O2187" s="141" t="s">
        <v>4328</v>
      </c>
      <c r="P2187" s="141" t="s">
        <v>4904</v>
      </c>
    </row>
    <row r="2188" spans="1:16" ht="25.5">
      <c r="A2188" s="141">
        <v>76807</v>
      </c>
      <c r="B2188" s="141" t="s">
        <v>4325</v>
      </c>
      <c r="C2188" s="142">
        <v>41201</v>
      </c>
      <c r="D2188" s="141">
        <v>712</v>
      </c>
      <c r="E2188" s="141" t="str">
        <f t="shared" si="190"/>
        <v>001</v>
      </c>
      <c r="F2188" s="141" t="s">
        <v>4326</v>
      </c>
      <c r="G2188" s="141" t="str">
        <f t="shared" si="193"/>
        <v>2284</v>
      </c>
      <c r="H2188" s="141" t="s">
        <v>977</v>
      </c>
      <c r="I2188" s="141" t="str">
        <f t="shared" si="191"/>
        <v>999</v>
      </c>
      <c r="J2188" s="141" t="s">
        <v>4327</v>
      </c>
      <c r="K2188" s="141">
        <v>2068</v>
      </c>
      <c r="L2188" s="141">
        <v>10</v>
      </c>
      <c r="M2188" s="141">
        <v>0</v>
      </c>
      <c r="N2188" s="141">
        <v>25000</v>
      </c>
      <c r="O2188" s="141" t="s">
        <v>4339</v>
      </c>
      <c r="P2188" s="141" t="s">
        <v>4340</v>
      </c>
    </row>
    <row r="2189" spans="1:16" ht="25.5">
      <c r="A2189" s="141">
        <v>76807</v>
      </c>
      <c r="B2189" s="141" t="s">
        <v>4325</v>
      </c>
      <c r="C2189" s="142">
        <v>41201</v>
      </c>
      <c r="D2189" s="141">
        <v>712</v>
      </c>
      <c r="E2189" s="141" t="str">
        <f t="shared" si="190"/>
        <v>001</v>
      </c>
      <c r="F2189" s="141" t="s">
        <v>4326</v>
      </c>
      <c r="G2189" s="141" t="str">
        <f t="shared" si="193"/>
        <v>2284</v>
      </c>
      <c r="H2189" s="141" t="s">
        <v>977</v>
      </c>
      <c r="I2189" s="141" t="str">
        <f t="shared" si="191"/>
        <v>999</v>
      </c>
      <c r="J2189" s="141" t="s">
        <v>4327</v>
      </c>
      <c r="K2189" s="141">
        <v>2069</v>
      </c>
      <c r="L2189" s="141">
        <v>1</v>
      </c>
      <c r="M2189" s="141">
        <v>0</v>
      </c>
      <c r="N2189" s="141">
        <v>14000</v>
      </c>
      <c r="O2189" s="141" t="s">
        <v>4848</v>
      </c>
      <c r="P2189" s="141" t="s">
        <v>4905</v>
      </c>
    </row>
    <row r="2190" spans="1:16" ht="25.5">
      <c r="A2190" s="141">
        <v>76807</v>
      </c>
      <c r="B2190" s="141" t="s">
        <v>4325</v>
      </c>
      <c r="C2190" s="142">
        <v>41201</v>
      </c>
      <c r="D2190" s="141">
        <v>712</v>
      </c>
      <c r="E2190" s="141" t="str">
        <f t="shared" si="190"/>
        <v>001</v>
      </c>
      <c r="F2190" s="141" t="s">
        <v>4326</v>
      </c>
      <c r="G2190" s="141" t="str">
        <f t="shared" si="193"/>
        <v>2284</v>
      </c>
      <c r="H2190" s="141" t="s">
        <v>977</v>
      </c>
      <c r="I2190" s="141" t="str">
        <f t="shared" si="191"/>
        <v>999</v>
      </c>
      <c r="J2190" s="141" t="s">
        <v>4327</v>
      </c>
      <c r="K2190" s="141">
        <v>2070</v>
      </c>
      <c r="L2190" s="141">
        <v>1</v>
      </c>
      <c r="M2190" s="141">
        <v>0</v>
      </c>
      <c r="N2190" s="141">
        <v>0</v>
      </c>
      <c r="O2190" s="141" t="s">
        <v>4330</v>
      </c>
      <c r="P2190" s="141" t="s">
        <v>4441</v>
      </c>
    </row>
    <row r="2191" spans="1:16" ht="25.5">
      <c r="A2191" s="141">
        <v>76807</v>
      </c>
      <c r="B2191" s="141" t="s">
        <v>4325</v>
      </c>
      <c r="C2191" s="142">
        <v>41201</v>
      </c>
      <c r="D2191" s="141">
        <v>712</v>
      </c>
      <c r="E2191" s="141" t="str">
        <f t="shared" si="190"/>
        <v>001</v>
      </c>
      <c r="F2191" s="141" t="s">
        <v>4326</v>
      </c>
      <c r="G2191" s="141" t="str">
        <f t="shared" si="193"/>
        <v>2284</v>
      </c>
      <c r="H2191" s="141" t="s">
        <v>977</v>
      </c>
      <c r="I2191" s="141" t="str">
        <f t="shared" si="191"/>
        <v>999</v>
      </c>
      <c r="J2191" s="141" t="s">
        <v>4327</v>
      </c>
      <c r="K2191" s="141">
        <v>2071</v>
      </c>
      <c r="L2191" s="141">
        <v>1</v>
      </c>
      <c r="M2191" s="141">
        <v>0</v>
      </c>
      <c r="N2191" s="141">
        <v>4000</v>
      </c>
      <c r="O2191" s="141" t="s">
        <v>4807</v>
      </c>
      <c r="P2191" s="141"/>
    </row>
    <row r="2192" spans="1:16" ht="25.5">
      <c r="A2192" s="141">
        <v>76807</v>
      </c>
      <c r="B2192" s="141" t="s">
        <v>4325</v>
      </c>
      <c r="C2192" s="142">
        <v>41201</v>
      </c>
      <c r="D2192" s="141">
        <v>712</v>
      </c>
      <c r="E2192" s="141" t="str">
        <f t="shared" si="190"/>
        <v>001</v>
      </c>
      <c r="F2192" s="141" t="s">
        <v>4326</v>
      </c>
      <c r="G2192" s="141" t="str">
        <f t="shared" si="193"/>
        <v>2284</v>
      </c>
      <c r="H2192" s="141" t="s">
        <v>977</v>
      </c>
      <c r="I2192" s="141" t="str">
        <f t="shared" si="191"/>
        <v>999</v>
      </c>
      <c r="J2192" s="141" t="s">
        <v>4327</v>
      </c>
      <c r="K2192" s="141">
        <v>2072</v>
      </c>
      <c r="L2192" s="141">
        <v>1</v>
      </c>
      <c r="M2192" s="141">
        <v>0</v>
      </c>
      <c r="N2192" s="141">
        <v>1000</v>
      </c>
      <c r="O2192" s="141" t="s">
        <v>4381</v>
      </c>
      <c r="P2192" s="141"/>
    </row>
    <row r="2193" spans="1:16" ht="25.5">
      <c r="A2193" s="141">
        <v>76807</v>
      </c>
      <c r="B2193" s="141" t="s">
        <v>4325</v>
      </c>
      <c r="C2193" s="142">
        <v>41201</v>
      </c>
      <c r="D2193" s="141">
        <v>460</v>
      </c>
      <c r="E2193" s="141" t="str">
        <f t="shared" si="190"/>
        <v>001</v>
      </c>
      <c r="F2193" s="141" t="s">
        <v>4326</v>
      </c>
      <c r="G2193" s="141" t="str">
        <f>"ANIMAL"</f>
        <v>ANIMAL</v>
      </c>
      <c r="H2193" s="141" t="s">
        <v>1646</v>
      </c>
      <c r="I2193" s="141" t="str">
        <f t="shared" si="191"/>
        <v>999</v>
      </c>
      <c r="J2193" s="141" t="s">
        <v>4327</v>
      </c>
      <c r="K2193" s="141">
        <v>965</v>
      </c>
      <c r="L2193" s="141">
        <v>1</v>
      </c>
      <c r="M2193" s="141">
        <v>0</v>
      </c>
      <c r="N2193" s="141">
        <v>6000</v>
      </c>
      <c r="O2193" s="141" t="s">
        <v>4337</v>
      </c>
      <c r="P2193" s="141" t="s">
        <v>4707</v>
      </c>
    </row>
    <row r="2194" spans="1:16" ht="25.5">
      <c r="A2194" s="141">
        <v>76807</v>
      </c>
      <c r="B2194" s="141" t="s">
        <v>4325</v>
      </c>
      <c r="C2194" s="142">
        <v>41201</v>
      </c>
      <c r="D2194" s="141">
        <v>460</v>
      </c>
      <c r="E2194" s="141" t="str">
        <f t="shared" si="190"/>
        <v>001</v>
      </c>
      <c r="F2194" s="141" t="s">
        <v>4326</v>
      </c>
      <c r="G2194" s="141" t="str">
        <f>"ANIMAL"</f>
        <v>ANIMAL</v>
      </c>
      <c r="H2194" s="141" t="s">
        <v>1646</v>
      </c>
      <c r="I2194" s="141" t="str">
        <f t="shared" si="191"/>
        <v>999</v>
      </c>
      <c r="J2194" s="141" t="s">
        <v>4327</v>
      </c>
      <c r="K2194" s="141">
        <v>966</v>
      </c>
      <c r="L2194" s="141">
        <v>5</v>
      </c>
      <c r="M2194" s="141">
        <v>0</v>
      </c>
      <c r="N2194" s="141">
        <v>10000</v>
      </c>
      <c r="O2194" s="141" t="s">
        <v>4357</v>
      </c>
      <c r="P2194" s="141" t="s">
        <v>4363</v>
      </c>
    </row>
    <row r="2195" spans="1:16" ht="25.5">
      <c r="A2195" s="141">
        <v>76807</v>
      </c>
      <c r="B2195" s="141" t="s">
        <v>4325</v>
      </c>
      <c r="C2195" s="142">
        <v>41201</v>
      </c>
      <c r="D2195" s="141">
        <v>1280</v>
      </c>
      <c r="E2195" s="141" t="str">
        <f t="shared" si="190"/>
        <v>001</v>
      </c>
      <c r="F2195" s="141" t="s">
        <v>4326</v>
      </c>
      <c r="G2195" s="141" t="str">
        <f>"CHP"</f>
        <v>CHP</v>
      </c>
      <c r="H2195" s="141" t="s">
        <v>736</v>
      </c>
      <c r="I2195" s="141" t="str">
        <f t="shared" si="191"/>
        <v>999</v>
      </c>
      <c r="J2195" s="141" t="s">
        <v>4327</v>
      </c>
      <c r="K2195" s="141">
        <v>3392</v>
      </c>
      <c r="L2195" s="141">
        <v>1</v>
      </c>
      <c r="M2195" s="141">
        <v>0</v>
      </c>
      <c r="N2195" s="141">
        <v>478000</v>
      </c>
      <c r="O2195" s="141" t="s">
        <v>4327</v>
      </c>
      <c r="P2195" s="141"/>
    </row>
    <row r="2196" spans="1:16" ht="25.5">
      <c r="A2196" s="141">
        <v>76807</v>
      </c>
      <c r="B2196" s="141" t="s">
        <v>4325</v>
      </c>
      <c r="C2196" s="142">
        <v>41201</v>
      </c>
      <c r="D2196" s="141">
        <v>760</v>
      </c>
      <c r="E2196" s="141" t="str">
        <f t="shared" si="190"/>
        <v>001</v>
      </c>
      <c r="F2196" s="141" t="s">
        <v>4326</v>
      </c>
      <c r="G2196" s="141" t="str">
        <f t="shared" ref="G2196:G2209" si="194">"CPB"</f>
        <v>CPB</v>
      </c>
      <c r="H2196" s="141" t="s">
        <v>2659</v>
      </c>
      <c r="I2196" s="141" t="str">
        <f t="shared" si="191"/>
        <v>999</v>
      </c>
      <c r="J2196" s="141" t="s">
        <v>4327</v>
      </c>
      <c r="K2196" s="141">
        <v>2717</v>
      </c>
      <c r="L2196" s="141">
        <v>1</v>
      </c>
      <c r="M2196" s="141">
        <v>0</v>
      </c>
      <c r="N2196" s="141">
        <v>83000</v>
      </c>
      <c r="O2196" s="141" t="s">
        <v>4463</v>
      </c>
      <c r="P2196" s="141" t="s">
        <v>4469</v>
      </c>
    </row>
    <row r="2197" spans="1:16" ht="25.5">
      <c r="A2197" s="141">
        <v>76807</v>
      </c>
      <c r="B2197" s="141" t="s">
        <v>4325</v>
      </c>
      <c r="C2197" s="142">
        <v>41201</v>
      </c>
      <c r="D2197" s="141">
        <v>760</v>
      </c>
      <c r="E2197" s="141" t="str">
        <f t="shared" si="190"/>
        <v>001</v>
      </c>
      <c r="F2197" s="141" t="s">
        <v>4326</v>
      </c>
      <c r="G2197" s="141" t="str">
        <f t="shared" si="194"/>
        <v>CPB</v>
      </c>
      <c r="H2197" s="141" t="s">
        <v>2659</v>
      </c>
      <c r="I2197" s="141" t="str">
        <f t="shared" si="191"/>
        <v>999</v>
      </c>
      <c r="J2197" s="141" t="s">
        <v>4327</v>
      </c>
      <c r="K2197" s="141">
        <v>2718</v>
      </c>
      <c r="L2197" s="141">
        <v>10</v>
      </c>
      <c r="M2197" s="141">
        <v>0</v>
      </c>
      <c r="N2197" s="141">
        <v>16000</v>
      </c>
      <c r="O2197" s="141" t="s">
        <v>4339</v>
      </c>
      <c r="P2197" s="141" t="s">
        <v>4363</v>
      </c>
    </row>
    <row r="2198" spans="1:16" ht="25.5">
      <c r="A2198" s="141">
        <v>76807</v>
      </c>
      <c r="B2198" s="141" t="s">
        <v>4325</v>
      </c>
      <c r="C2198" s="142">
        <v>41201</v>
      </c>
      <c r="D2198" s="141">
        <v>760</v>
      </c>
      <c r="E2198" s="141" t="str">
        <f t="shared" si="190"/>
        <v>001</v>
      </c>
      <c r="F2198" s="141" t="s">
        <v>4326</v>
      </c>
      <c r="G2198" s="141" t="str">
        <f t="shared" si="194"/>
        <v>CPB</v>
      </c>
      <c r="H2198" s="141" t="s">
        <v>2659</v>
      </c>
      <c r="I2198" s="141" t="str">
        <f t="shared" si="191"/>
        <v>999</v>
      </c>
      <c r="J2198" s="141" t="s">
        <v>4327</v>
      </c>
      <c r="K2198" s="141">
        <v>2719</v>
      </c>
      <c r="L2198" s="141">
        <v>1</v>
      </c>
      <c r="M2198" s="141">
        <v>0</v>
      </c>
      <c r="N2198" s="141">
        <v>6000</v>
      </c>
      <c r="O2198" s="141" t="s">
        <v>4431</v>
      </c>
      <c r="P2198" s="141" t="s">
        <v>4634</v>
      </c>
    </row>
    <row r="2199" spans="1:16" ht="25.5">
      <c r="A2199" s="141">
        <v>76807</v>
      </c>
      <c r="B2199" s="141" t="s">
        <v>4325</v>
      </c>
      <c r="C2199" s="142">
        <v>41201</v>
      </c>
      <c r="D2199" s="141">
        <v>760</v>
      </c>
      <c r="E2199" s="141" t="str">
        <f t="shared" si="190"/>
        <v>001</v>
      </c>
      <c r="F2199" s="141" t="s">
        <v>4326</v>
      </c>
      <c r="G2199" s="141" t="str">
        <f t="shared" si="194"/>
        <v>CPB</v>
      </c>
      <c r="H2199" s="141" t="s">
        <v>2659</v>
      </c>
      <c r="I2199" s="141" t="str">
        <f t="shared" si="191"/>
        <v>999</v>
      </c>
      <c r="J2199" s="141" t="s">
        <v>4327</v>
      </c>
      <c r="K2199" s="141">
        <v>2720</v>
      </c>
      <c r="L2199" s="141">
        <v>1</v>
      </c>
      <c r="M2199" s="141">
        <v>0</v>
      </c>
      <c r="N2199" s="141">
        <v>95000</v>
      </c>
      <c r="O2199" s="141" t="s">
        <v>4657</v>
      </c>
      <c r="P2199" s="141" t="s">
        <v>4906</v>
      </c>
    </row>
    <row r="2200" spans="1:16" ht="25.5">
      <c r="A2200" s="141">
        <v>76807</v>
      </c>
      <c r="B2200" s="141" t="s">
        <v>4325</v>
      </c>
      <c r="C2200" s="142">
        <v>41201</v>
      </c>
      <c r="D2200" s="141">
        <v>760</v>
      </c>
      <c r="E2200" s="141" t="str">
        <f t="shared" si="190"/>
        <v>001</v>
      </c>
      <c r="F2200" s="141" t="s">
        <v>4326</v>
      </c>
      <c r="G2200" s="141" t="str">
        <f t="shared" si="194"/>
        <v>CPB</v>
      </c>
      <c r="H2200" s="141" t="s">
        <v>2659</v>
      </c>
      <c r="I2200" s="141" t="str">
        <f t="shared" si="191"/>
        <v>999</v>
      </c>
      <c r="J2200" s="141" t="s">
        <v>4327</v>
      </c>
      <c r="K2200" s="141">
        <v>2721</v>
      </c>
      <c r="L2200" s="141">
        <v>3</v>
      </c>
      <c r="M2200" s="141">
        <v>0</v>
      </c>
      <c r="N2200" s="141">
        <v>5000</v>
      </c>
      <c r="O2200" s="141" t="s">
        <v>4592</v>
      </c>
      <c r="P2200" s="141"/>
    </row>
    <row r="2201" spans="1:16" ht="25.5">
      <c r="A2201" s="141">
        <v>76807</v>
      </c>
      <c r="B2201" s="141" t="s">
        <v>4325</v>
      </c>
      <c r="C2201" s="142">
        <v>41201</v>
      </c>
      <c r="D2201" s="141">
        <v>760</v>
      </c>
      <c r="E2201" s="141" t="str">
        <f t="shared" si="190"/>
        <v>001</v>
      </c>
      <c r="F2201" s="141" t="s">
        <v>4326</v>
      </c>
      <c r="G2201" s="141" t="str">
        <f t="shared" si="194"/>
        <v>CPB</v>
      </c>
      <c r="H2201" s="141" t="s">
        <v>2659</v>
      </c>
      <c r="I2201" s="141" t="str">
        <f t="shared" si="191"/>
        <v>999</v>
      </c>
      <c r="J2201" s="141" t="s">
        <v>4327</v>
      </c>
      <c r="K2201" s="141">
        <v>2722</v>
      </c>
      <c r="L2201" s="141">
        <v>2</v>
      </c>
      <c r="M2201" s="141">
        <v>0</v>
      </c>
      <c r="N2201" s="141">
        <v>6000</v>
      </c>
      <c r="O2201" s="141" t="s">
        <v>4907</v>
      </c>
      <c r="P2201" s="141"/>
    </row>
    <row r="2202" spans="1:16" ht="25.5">
      <c r="A2202" s="141">
        <v>76807</v>
      </c>
      <c r="B2202" s="141" t="s">
        <v>4325</v>
      </c>
      <c r="C2202" s="142">
        <v>41201</v>
      </c>
      <c r="D2202" s="141">
        <v>760</v>
      </c>
      <c r="E2202" s="141" t="str">
        <f t="shared" si="190"/>
        <v>001</v>
      </c>
      <c r="F2202" s="141" t="s">
        <v>4326</v>
      </c>
      <c r="G2202" s="141" t="str">
        <f t="shared" si="194"/>
        <v>CPB</v>
      </c>
      <c r="H2202" s="141" t="s">
        <v>2659</v>
      </c>
      <c r="I2202" s="141" t="str">
        <f t="shared" si="191"/>
        <v>999</v>
      </c>
      <c r="J2202" s="141" t="s">
        <v>4327</v>
      </c>
      <c r="K2202" s="141">
        <v>2723</v>
      </c>
      <c r="L2202" s="141">
        <v>1</v>
      </c>
      <c r="M2202" s="141">
        <v>0</v>
      </c>
      <c r="N2202" s="141">
        <v>6000</v>
      </c>
      <c r="O2202" s="141" t="s">
        <v>4353</v>
      </c>
      <c r="P2202" s="141" t="s">
        <v>4530</v>
      </c>
    </row>
    <row r="2203" spans="1:16" ht="25.5">
      <c r="A2203" s="141">
        <v>76807</v>
      </c>
      <c r="B2203" s="141" t="s">
        <v>4325</v>
      </c>
      <c r="C2203" s="142">
        <v>41201</v>
      </c>
      <c r="D2203" s="141">
        <v>760</v>
      </c>
      <c r="E2203" s="141" t="str">
        <f t="shared" si="190"/>
        <v>001</v>
      </c>
      <c r="F2203" s="141" t="s">
        <v>4326</v>
      </c>
      <c r="G2203" s="141" t="str">
        <f t="shared" si="194"/>
        <v>CPB</v>
      </c>
      <c r="H2203" s="141" t="s">
        <v>2659</v>
      </c>
      <c r="I2203" s="141" t="str">
        <f t="shared" si="191"/>
        <v>999</v>
      </c>
      <c r="J2203" s="141" t="s">
        <v>4327</v>
      </c>
      <c r="K2203" s="141">
        <v>2724</v>
      </c>
      <c r="L2203" s="141">
        <v>1</v>
      </c>
      <c r="M2203" s="141">
        <v>0</v>
      </c>
      <c r="N2203" s="141">
        <v>1000</v>
      </c>
      <c r="O2203" s="141" t="s">
        <v>4399</v>
      </c>
      <c r="P2203" s="141" t="s">
        <v>4908</v>
      </c>
    </row>
    <row r="2204" spans="1:16" ht="25.5">
      <c r="A2204" s="141">
        <v>76807</v>
      </c>
      <c r="B2204" s="141" t="s">
        <v>4325</v>
      </c>
      <c r="C2204" s="142">
        <v>41201</v>
      </c>
      <c r="D2204" s="141">
        <v>760</v>
      </c>
      <c r="E2204" s="141" t="str">
        <f t="shared" si="190"/>
        <v>001</v>
      </c>
      <c r="F2204" s="141" t="s">
        <v>4326</v>
      </c>
      <c r="G2204" s="141" t="str">
        <f t="shared" si="194"/>
        <v>CPB</v>
      </c>
      <c r="H2204" s="141" t="s">
        <v>2659</v>
      </c>
      <c r="I2204" s="141" t="str">
        <f t="shared" si="191"/>
        <v>999</v>
      </c>
      <c r="J2204" s="141" t="s">
        <v>4327</v>
      </c>
      <c r="K2204" s="141">
        <v>2725</v>
      </c>
      <c r="L2204" s="141">
        <v>1</v>
      </c>
      <c r="M2204" s="141">
        <v>0</v>
      </c>
      <c r="N2204" s="141">
        <v>196000</v>
      </c>
      <c r="O2204" s="141" t="s">
        <v>4619</v>
      </c>
      <c r="P2204" s="141"/>
    </row>
    <row r="2205" spans="1:16" ht="25.5">
      <c r="A2205" s="141">
        <v>76807</v>
      </c>
      <c r="B2205" s="141" t="s">
        <v>4325</v>
      </c>
      <c r="C2205" s="142">
        <v>41201</v>
      </c>
      <c r="D2205" s="141">
        <v>760</v>
      </c>
      <c r="E2205" s="141" t="str">
        <f t="shared" si="190"/>
        <v>001</v>
      </c>
      <c r="F2205" s="141" t="s">
        <v>4326</v>
      </c>
      <c r="G2205" s="141" t="str">
        <f t="shared" si="194"/>
        <v>CPB</v>
      </c>
      <c r="H2205" s="141" t="s">
        <v>2659</v>
      </c>
      <c r="I2205" s="141" t="str">
        <f t="shared" si="191"/>
        <v>999</v>
      </c>
      <c r="J2205" s="141" t="s">
        <v>4327</v>
      </c>
      <c r="K2205" s="141">
        <v>2726</v>
      </c>
      <c r="L2205" s="141">
        <v>1</v>
      </c>
      <c r="M2205" s="141">
        <v>0</v>
      </c>
      <c r="N2205" s="141">
        <v>6000</v>
      </c>
      <c r="O2205" s="141" t="s">
        <v>4566</v>
      </c>
      <c r="P2205" s="141"/>
    </row>
    <row r="2206" spans="1:16" ht="25.5">
      <c r="A2206" s="141">
        <v>76807</v>
      </c>
      <c r="B2206" s="141" t="s">
        <v>4325</v>
      </c>
      <c r="C2206" s="142">
        <v>41201</v>
      </c>
      <c r="D2206" s="141">
        <v>760</v>
      </c>
      <c r="E2206" s="141" t="str">
        <f t="shared" si="190"/>
        <v>001</v>
      </c>
      <c r="F2206" s="141" t="s">
        <v>4326</v>
      </c>
      <c r="G2206" s="141" t="str">
        <f t="shared" si="194"/>
        <v>CPB</v>
      </c>
      <c r="H2206" s="141" t="s">
        <v>2659</v>
      </c>
      <c r="I2206" s="141" t="str">
        <f t="shared" si="191"/>
        <v>999</v>
      </c>
      <c r="J2206" s="141" t="s">
        <v>4327</v>
      </c>
      <c r="K2206" s="141">
        <v>2727</v>
      </c>
      <c r="L2206" s="141">
        <v>1</v>
      </c>
      <c r="M2206" s="141">
        <v>0</v>
      </c>
      <c r="N2206" s="141">
        <v>5000</v>
      </c>
      <c r="O2206" s="141" t="s">
        <v>4568</v>
      </c>
      <c r="P2206" s="141"/>
    </row>
    <row r="2207" spans="1:16" ht="25.5">
      <c r="A2207" s="141">
        <v>76807</v>
      </c>
      <c r="B2207" s="141" t="s">
        <v>4325</v>
      </c>
      <c r="C2207" s="142">
        <v>41201</v>
      </c>
      <c r="D2207" s="141">
        <v>760</v>
      </c>
      <c r="E2207" s="141" t="str">
        <f t="shared" si="190"/>
        <v>001</v>
      </c>
      <c r="F2207" s="141" t="s">
        <v>4326</v>
      </c>
      <c r="G2207" s="141" t="str">
        <f t="shared" si="194"/>
        <v>CPB</v>
      </c>
      <c r="H2207" s="141" t="s">
        <v>2659</v>
      </c>
      <c r="I2207" s="141" t="str">
        <f t="shared" si="191"/>
        <v>999</v>
      </c>
      <c r="J2207" s="141" t="s">
        <v>4327</v>
      </c>
      <c r="K2207" s="141">
        <v>2728</v>
      </c>
      <c r="L2207" s="141">
        <v>20</v>
      </c>
      <c r="M2207" s="141">
        <v>0</v>
      </c>
      <c r="N2207" s="141">
        <v>14000</v>
      </c>
      <c r="O2207" s="141" t="s">
        <v>4343</v>
      </c>
      <c r="P2207" s="141"/>
    </row>
    <row r="2208" spans="1:16" ht="25.5">
      <c r="A2208" s="141">
        <v>76807</v>
      </c>
      <c r="B2208" s="141" t="s">
        <v>4325</v>
      </c>
      <c r="C2208" s="142">
        <v>41201</v>
      </c>
      <c r="D2208" s="141">
        <v>760</v>
      </c>
      <c r="E2208" s="141" t="str">
        <f t="shared" si="190"/>
        <v>001</v>
      </c>
      <c r="F2208" s="141" t="s">
        <v>4326</v>
      </c>
      <c r="G2208" s="141" t="str">
        <f t="shared" si="194"/>
        <v>CPB</v>
      </c>
      <c r="H2208" s="141" t="s">
        <v>2659</v>
      </c>
      <c r="I2208" s="141" t="str">
        <f t="shared" si="191"/>
        <v>999</v>
      </c>
      <c r="J2208" s="141" t="s">
        <v>4327</v>
      </c>
      <c r="K2208" s="141">
        <v>2729</v>
      </c>
      <c r="L2208" s="141">
        <v>20</v>
      </c>
      <c r="M2208" s="141">
        <v>0</v>
      </c>
      <c r="N2208" s="141">
        <v>11000</v>
      </c>
      <c r="O2208" s="141" t="s">
        <v>4350</v>
      </c>
      <c r="P2208" s="141"/>
    </row>
    <row r="2209" spans="1:16" ht="25.5">
      <c r="A2209" s="141">
        <v>76807</v>
      </c>
      <c r="B2209" s="141" t="s">
        <v>4325</v>
      </c>
      <c r="C2209" s="142">
        <v>41201</v>
      </c>
      <c r="D2209" s="141">
        <v>760</v>
      </c>
      <c r="E2209" s="141" t="str">
        <f t="shared" si="190"/>
        <v>001</v>
      </c>
      <c r="F2209" s="141" t="s">
        <v>4326</v>
      </c>
      <c r="G2209" s="141" t="str">
        <f t="shared" si="194"/>
        <v>CPB</v>
      </c>
      <c r="H2209" s="141" t="s">
        <v>2659</v>
      </c>
      <c r="I2209" s="141" t="str">
        <f t="shared" si="191"/>
        <v>999</v>
      </c>
      <c r="J2209" s="141" t="s">
        <v>4327</v>
      </c>
      <c r="K2209" s="141">
        <v>2730</v>
      </c>
      <c r="L2209" s="141">
        <v>2</v>
      </c>
      <c r="M2209" s="141">
        <v>0</v>
      </c>
      <c r="N2209" s="141">
        <v>1000</v>
      </c>
      <c r="O2209" s="141" t="s">
        <v>4381</v>
      </c>
      <c r="P2209" s="141"/>
    </row>
    <row r="2210" spans="1:16" ht="25.5">
      <c r="A2210" s="141">
        <v>76807</v>
      </c>
      <c r="B2210" s="141" t="s">
        <v>4325</v>
      </c>
      <c r="C2210" s="142">
        <v>41201</v>
      </c>
      <c r="D2210" s="141">
        <v>415</v>
      </c>
      <c r="E2210" s="141" t="str">
        <f t="shared" si="190"/>
        <v>001</v>
      </c>
      <c r="F2210" s="141" t="s">
        <v>4326</v>
      </c>
      <c r="G2210" s="141" t="str">
        <f t="shared" ref="G2210:G2215" si="195">"DINS"</f>
        <v>DINS</v>
      </c>
      <c r="H2210" s="141" t="s">
        <v>1617</v>
      </c>
      <c r="I2210" s="141" t="str">
        <f t="shared" si="191"/>
        <v>999</v>
      </c>
      <c r="J2210" s="141" t="s">
        <v>4327</v>
      </c>
      <c r="K2210" s="141">
        <v>1136</v>
      </c>
      <c r="L2210" s="141">
        <v>1</v>
      </c>
      <c r="M2210" s="141">
        <v>0</v>
      </c>
      <c r="N2210" s="141">
        <v>6000</v>
      </c>
      <c r="O2210" s="141" t="s">
        <v>4328</v>
      </c>
      <c r="P2210" s="141" t="s">
        <v>4430</v>
      </c>
    </row>
    <row r="2211" spans="1:16" ht="25.5">
      <c r="A2211" s="141">
        <v>76807</v>
      </c>
      <c r="B2211" s="141" t="s">
        <v>4325</v>
      </c>
      <c r="C2211" s="142">
        <v>41201</v>
      </c>
      <c r="D2211" s="141">
        <v>415</v>
      </c>
      <c r="E2211" s="141" t="str">
        <f t="shared" si="190"/>
        <v>001</v>
      </c>
      <c r="F2211" s="141" t="s">
        <v>4326</v>
      </c>
      <c r="G2211" s="141" t="str">
        <f t="shared" si="195"/>
        <v>DINS</v>
      </c>
      <c r="H2211" s="141" t="s">
        <v>1617</v>
      </c>
      <c r="I2211" s="141" t="str">
        <f t="shared" si="191"/>
        <v>999</v>
      </c>
      <c r="J2211" s="141" t="s">
        <v>4327</v>
      </c>
      <c r="K2211" s="141">
        <v>1137</v>
      </c>
      <c r="L2211" s="141">
        <v>6</v>
      </c>
      <c r="M2211" s="141">
        <v>0</v>
      </c>
      <c r="N2211" s="141">
        <v>13000</v>
      </c>
      <c r="O2211" s="141" t="s">
        <v>4408</v>
      </c>
      <c r="P2211" s="141"/>
    </row>
    <row r="2212" spans="1:16" ht="25.5">
      <c r="A2212" s="141">
        <v>76807</v>
      </c>
      <c r="B2212" s="141" t="s">
        <v>4325</v>
      </c>
      <c r="C2212" s="142">
        <v>41201</v>
      </c>
      <c r="D2212" s="141">
        <v>415</v>
      </c>
      <c r="E2212" s="141" t="str">
        <f t="shared" si="190"/>
        <v>001</v>
      </c>
      <c r="F2212" s="141" t="s">
        <v>4326</v>
      </c>
      <c r="G2212" s="141" t="str">
        <f t="shared" si="195"/>
        <v>DINS</v>
      </c>
      <c r="H2212" s="141" t="s">
        <v>1617</v>
      </c>
      <c r="I2212" s="141" t="str">
        <f t="shared" si="191"/>
        <v>999</v>
      </c>
      <c r="J2212" s="141" t="s">
        <v>4327</v>
      </c>
      <c r="K2212" s="141">
        <v>1138</v>
      </c>
      <c r="L2212" s="141">
        <v>8</v>
      </c>
      <c r="M2212" s="141">
        <v>0</v>
      </c>
      <c r="N2212" s="141">
        <v>4000</v>
      </c>
      <c r="O2212" s="141" t="s">
        <v>4350</v>
      </c>
      <c r="P2212" s="141"/>
    </row>
    <row r="2213" spans="1:16" ht="25.5">
      <c r="A2213" s="141">
        <v>76807</v>
      </c>
      <c r="B2213" s="141" t="s">
        <v>4325</v>
      </c>
      <c r="C2213" s="142">
        <v>41201</v>
      </c>
      <c r="D2213" s="141">
        <v>415</v>
      </c>
      <c r="E2213" s="141" t="str">
        <f t="shared" si="190"/>
        <v>001</v>
      </c>
      <c r="F2213" s="141" t="s">
        <v>4326</v>
      </c>
      <c r="G2213" s="141" t="str">
        <f t="shared" si="195"/>
        <v>DINS</v>
      </c>
      <c r="H2213" s="141" t="s">
        <v>1617</v>
      </c>
      <c r="I2213" s="141" t="str">
        <f t="shared" si="191"/>
        <v>999</v>
      </c>
      <c r="J2213" s="141" t="s">
        <v>4327</v>
      </c>
      <c r="K2213" s="141">
        <v>1139</v>
      </c>
      <c r="L2213" s="141">
        <v>4</v>
      </c>
      <c r="M2213" s="141">
        <v>0</v>
      </c>
      <c r="N2213" s="141">
        <v>3000</v>
      </c>
      <c r="O2213" s="141" t="s">
        <v>4343</v>
      </c>
      <c r="P2213" s="141"/>
    </row>
    <row r="2214" spans="1:16" ht="25.5">
      <c r="A2214" s="141">
        <v>76807</v>
      </c>
      <c r="B2214" s="141" t="s">
        <v>4325</v>
      </c>
      <c r="C2214" s="142">
        <v>41201</v>
      </c>
      <c r="D2214" s="141">
        <v>415</v>
      </c>
      <c r="E2214" s="141" t="str">
        <f t="shared" si="190"/>
        <v>001</v>
      </c>
      <c r="F2214" s="141" t="s">
        <v>4326</v>
      </c>
      <c r="G2214" s="141" t="str">
        <f t="shared" si="195"/>
        <v>DINS</v>
      </c>
      <c r="H2214" s="141" t="s">
        <v>1617</v>
      </c>
      <c r="I2214" s="141" t="str">
        <f t="shared" si="191"/>
        <v>999</v>
      </c>
      <c r="J2214" s="141" t="s">
        <v>4327</v>
      </c>
      <c r="K2214" s="141">
        <v>1140</v>
      </c>
      <c r="L2214" s="141">
        <v>1</v>
      </c>
      <c r="M2214" s="141">
        <v>0</v>
      </c>
      <c r="N2214" s="141">
        <v>112000</v>
      </c>
      <c r="O2214" s="141" t="s">
        <v>4366</v>
      </c>
      <c r="P2214" s="141" t="s">
        <v>4367</v>
      </c>
    </row>
    <row r="2215" spans="1:16" ht="25.5">
      <c r="A2215" s="141">
        <v>76807</v>
      </c>
      <c r="B2215" s="141" t="s">
        <v>4325</v>
      </c>
      <c r="C2215" s="142">
        <v>41201</v>
      </c>
      <c r="D2215" s="141">
        <v>415</v>
      </c>
      <c r="E2215" s="141" t="str">
        <f t="shared" si="190"/>
        <v>001</v>
      </c>
      <c r="F2215" s="141" t="s">
        <v>4326</v>
      </c>
      <c r="G2215" s="141" t="str">
        <f t="shared" si="195"/>
        <v>DINS</v>
      </c>
      <c r="H2215" s="141" t="s">
        <v>1617</v>
      </c>
      <c r="I2215" s="141" t="str">
        <f t="shared" si="191"/>
        <v>999</v>
      </c>
      <c r="J2215" s="141" t="s">
        <v>4327</v>
      </c>
      <c r="K2215" s="141">
        <v>1141</v>
      </c>
      <c r="L2215" s="141">
        <v>1</v>
      </c>
      <c r="M2215" s="141">
        <v>0</v>
      </c>
      <c r="N2215" s="141">
        <v>5000</v>
      </c>
      <c r="O2215" s="141" t="s">
        <v>4353</v>
      </c>
      <c r="P2215" s="141" t="s">
        <v>4467</v>
      </c>
    </row>
    <row r="2216" spans="1:16" ht="25.5">
      <c r="A2216" s="141">
        <v>76807</v>
      </c>
      <c r="B2216" s="141" t="s">
        <v>4325</v>
      </c>
      <c r="C2216" s="142">
        <v>41201</v>
      </c>
      <c r="D2216" s="141">
        <v>454</v>
      </c>
      <c r="E2216" s="141" t="str">
        <f t="shared" si="190"/>
        <v>001</v>
      </c>
      <c r="F2216" s="141" t="s">
        <v>4326</v>
      </c>
      <c r="G2216" s="141" t="str">
        <f>"FCRC"</f>
        <v>FCRC</v>
      </c>
      <c r="H2216" s="141" t="s">
        <v>1680</v>
      </c>
      <c r="I2216" s="141" t="str">
        <f t="shared" si="191"/>
        <v>999</v>
      </c>
      <c r="J2216" s="141" t="s">
        <v>4327</v>
      </c>
      <c r="K2216" s="141">
        <v>1358</v>
      </c>
      <c r="L2216" s="141">
        <v>1</v>
      </c>
      <c r="M2216" s="141">
        <v>0</v>
      </c>
      <c r="N2216" s="141">
        <v>8000</v>
      </c>
      <c r="O2216" s="141" t="s">
        <v>4399</v>
      </c>
      <c r="P2216" s="141" t="s">
        <v>4654</v>
      </c>
    </row>
    <row r="2217" spans="1:16" ht="25.5">
      <c r="A2217" s="141">
        <v>76807</v>
      </c>
      <c r="B2217" s="141" t="s">
        <v>4325</v>
      </c>
      <c r="C2217" s="142">
        <v>41201</v>
      </c>
      <c r="D2217" s="141">
        <v>454</v>
      </c>
      <c r="E2217" s="141" t="str">
        <f t="shared" si="190"/>
        <v>001</v>
      </c>
      <c r="F2217" s="141" t="s">
        <v>4326</v>
      </c>
      <c r="G2217" s="141" t="str">
        <f>"FCRC"</f>
        <v>FCRC</v>
      </c>
      <c r="H2217" s="141" t="s">
        <v>1680</v>
      </c>
      <c r="I2217" s="141" t="str">
        <f t="shared" si="191"/>
        <v>999</v>
      </c>
      <c r="J2217" s="141" t="s">
        <v>4327</v>
      </c>
      <c r="K2217" s="141">
        <v>1359</v>
      </c>
      <c r="L2217" s="141">
        <v>1</v>
      </c>
      <c r="M2217" s="141">
        <v>0</v>
      </c>
      <c r="N2217" s="141">
        <v>112000</v>
      </c>
      <c r="O2217" s="141" t="s">
        <v>4366</v>
      </c>
      <c r="P2217" s="141" t="s">
        <v>4367</v>
      </c>
    </row>
    <row r="2218" spans="1:16" ht="25.5">
      <c r="A2218" s="141">
        <v>76807</v>
      </c>
      <c r="B2218" s="141" t="s">
        <v>4325</v>
      </c>
      <c r="C2218" s="142">
        <v>41201</v>
      </c>
      <c r="D2218" s="141">
        <v>454</v>
      </c>
      <c r="E2218" s="141" t="str">
        <f t="shared" si="190"/>
        <v>001</v>
      </c>
      <c r="F2218" s="141" t="s">
        <v>4326</v>
      </c>
      <c r="G2218" s="141" t="str">
        <f>"FCRC"</f>
        <v>FCRC</v>
      </c>
      <c r="H2218" s="141" t="s">
        <v>1680</v>
      </c>
      <c r="I2218" s="141" t="str">
        <f t="shared" si="191"/>
        <v>999</v>
      </c>
      <c r="J2218" s="141" t="s">
        <v>4327</v>
      </c>
      <c r="K2218" s="141">
        <v>1360</v>
      </c>
      <c r="L2218" s="141">
        <v>1</v>
      </c>
      <c r="M2218" s="141">
        <v>0</v>
      </c>
      <c r="N2218" s="141">
        <v>1000</v>
      </c>
      <c r="O2218" s="141" t="s">
        <v>4381</v>
      </c>
      <c r="P2218" s="141"/>
    </row>
    <row r="2219" spans="1:16" ht="25.5">
      <c r="A2219" s="141">
        <v>76807</v>
      </c>
      <c r="B2219" s="141" t="s">
        <v>4325</v>
      </c>
      <c r="C2219" s="142">
        <v>41201</v>
      </c>
      <c r="D2219" s="141">
        <v>1282</v>
      </c>
      <c r="E2219" s="141" t="str">
        <f t="shared" si="190"/>
        <v>001</v>
      </c>
      <c r="F2219" s="141" t="s">
        <v>4326</v>
      </c>
      <c r="G2219" s="141" t="str">
        <f>"FERRY"</f>
        <v>FERRY</v>
      </c>
      <c r="H2219" s="141" t="s">
        <v>4327</v>
      </c>
      <c r="I2219" s="141" t="str">
        <f t="shared" si="191"/>
        <v>999</v>
      </c>
      <c r="J2219" s="141" t="s">
        <v>4327</v>
      </c>
      <c r="K2219" s="141">
        <v>3394</v>
      </c>
      <c r="L2219" s="141">
        <v>1</v>
      </c>
      <c r="M2219" s="141">
        <v>0</v>
      </c>
      <c r="N2219" s="141">
        <v>230000</v>
      </c>
      <c r="O2219" s="141" t="s">
        <v>4327</v>
      </c>
      <c r="P2219" s="141"/>
    </row>
    <row r="2220" spans="1:16" ht="25.5">
      <c r="A2220" s="141">
        <v>76807</v>
      </c>
      <c r="B2220" s="141" t="s">
        <v>4325</v>
      </c>
      <c r="C2220" s="142">
        <v>41201</v>
      </c>
      <c r="D2220" s="141">
        <v>392</v>
      </c>
      <c r="E2220" s="141" t="str">
        <f t="shared" si="190"/>
        <v>001</v>
      </c>
      <c r="F2220" s="141" t="s">
        <v>4326</v>
      </c>
      <c r="G2220" s="141" t="str">
        <f>"FS28"</f>
        <v>FS28</v>
      </c>
      <c r="H2220" s="141" t="s">
        <v>754</v>
      </c>
      <c r="I2220" s="141" t="str">
        <f t="shared" si="191"/>
        <v>999</v>
      </c>
      <c r="J2220" s="141" t="s">
        <v>4327</v>
      </c>
      <c r="K2220" s="141">
        <v>1032</v>
      </c>
      <c r="L2220" s="141">
        <v>1</v>
      </c>
      <c r="M2220" s="141">
        <v>0</v>
      </c>
      <c r="N2220" s="141">
        <v>9000</v>
      </c>
      <c r="O2220" s="141" t="s">
        <v>4468</v>
      </c>
      <c r="P2220" s="141" t="s">
        <v>4430</v>
      </c>
    </row>
    <row r="2221" spans="1:16" ht="25.5">
      <c r="A2221" s="141">
        <v>76807</v>
      </c>
      <c r="B2221" s="141" t="s">
        <v>4325</v>
      </c>
      <c r="C2221" s="142">
        <v>41201</v>
      </c>
      <c r="D2221" s="141">
        <v>392</v>
      </c>
      <c r="E2221" s="141" t="str">
        <f t="shared" si="190"/>
        <v>001</v>
      </c>
      <c r="F2221" s="141" t="s">
        <v>4326</v>
      </c>
      <c r="G2221" s="141" t="str">
        <f>"FS28"</f>
        <v>FS28</v>
      </c>
      <c r="H2221" s="141" t="s">
        <v>754</v>
      </c>
      <c r="I2221" s="141" t="str">
        <f t="shared" si="191"/>
        <v>999</v>
      </c>
      <c r="J2221" s="141" t="s">
        <v>4327</v>
      </c>
      <c r="K2221" s="141">
        <v>1033</v>
      </c>
      <c r="L2221" s="141">
        <v>10</v>
      </c>
      <c r="M2221" s="141">
        <v>0</v>
      </c>
      <c r="N2221" s="141">
        <v>32000</v>
      </c>
      <c r="O2221" s="141" t="s">
        <v>4334</v>
      </c>
      <c r="P2221" s="141" t="s">
        <v>4361</v>
      </c>
    </row>
    <row r="2222" spans="1:16" ht="25.5">
      <c r="A2222" s="141">
        <v>76807</v>
      </c>
      <c r="B2222" s="141" t="s">
        <v>4325</v>
      </c>
      <c r="C2222" s="142">
        <v>41201</v>
      </c>
      <c r="D2222" s="141">
        <v>392</v>
      </c>
      <c r="E2222" s="141" t="str">
        <f t="shared" si="190"/>
        <v>001</v>
      </c>
      <c r="F2222" s="141" t="s">
        <v>4326</v>
      </c>
      <c r="G2222" s="141" t="str">
        <f>"FS28"</f>
        <v>FS28</v>
      </c>
      <c r="H2222" s="141" t="s">
        <v>754</v>
      </c>
      <c r="I2222" s="141" t="str">
        <f t="shared" si="191"/>
        <v>999</v>
      </c>
      <c r="J2222" s="141" t="s">
        <v>4327</v>
      </c>
      <c r="K2222" s="141">
        <v>1034</v>
      </c>
      <c r="L2222" s="141">
        <v>1</v>
      </c>
      <c r="M2222" s="141">
        <v>0</v>
      </c>
      <c r="N2222" s="141">
        <v>3000</v>
      </c>
      <c r="O2222" s="141" t="s">
        <v>4330</v>
      </c>
      <c r="P2222" s="141" t="s">
        <v>4331</v>
      </c>
    </row>
    <row r="2223" spans="1:16" ht="25.5">
      <c r="A2223" s="141">
        <v>76807</v>
      </c>
      <c r="B2223" s="141" t="s">
        <v>4325</v>
      </c>
      <c r="C2223" s="142">
        <v>41201</v>
      </c>
      <c r="D2223" s="141">
        <v>472</v>
      </c>
      <c r="E2223" s="141" t="str">
        <f t="shared" si="190"/>
        <v>001</v>
      </c>
      <c r="F2223" s="141" t="s">
        <v>4326</v>
      </c>
      <c r="G2223" s="141" t="str">
        <f t="shared" ref="G2223:G2231" si="196">"FS31"</f>
        <v>FS31</v>
      </c>
      <c r="H2223" s="141" t="s">
        <v>562</v>
      </c>
      <c r="I2223" s="141" t="str">
        <f t="shared" si="191"/>
        <v>999</v>
      </c>
      <c r="J2223" s="141" t="s">
        <v>4327</v>
      </c>
      <c r="K2223" s="141">
        <v>1210</v>
      </c>
      <c r="L2223" s="141">
        <v>1</v>
      </c>
      <c r="M2223" s="141">
        <v>0</v>
      </c>
      <c r="N2223" s="141">
        <v>6000</v>
      </c>
      <c r="O2223" s="141" t="s">
        <v>4328</v>
      </c>
      <c r="P2223" s="141" t="s">
        <v>4764</v>
      </c>
    </row>
    <row r="2224" spans="1:16" ht="25.5">
      <c r="A2224" s="141">
        <v>76807</v>
      </c>
      <c r="B2224" s="141" t="s">
        <v>4325</v>
      </c>
      <c r="C2224" s="142">
        <v>41201</v>
      </c>
      <c r="D2224" s="141">
        <v>472</v>
      </c>
      <c r="E2224" s="141" t="str">
        <f t="shared" si="190"/>
        <v>001</v>
      </c>
      <c r="F2224" s="141" t="s">
        <v>4326</v>
      </c>
      <c r="G2224" s="141" t="str">
        <f t="shared" si="196"/>
        <v>FS31</v>
      </c>
      <c r="H2224" s="141" t="s">
        <v>562</v>
      </c>
      <c r="I2224" s="141" t="str">
        <f t="shared" si="191"/>
        <v>999</v>
      </c>
      <c r="J2224" s="141" t="s">
        <v>4327</v>
      </c>
      <c r="K2224" s="141">
        <v>1211</v>
      </c>
      <c r="L2224" s="141">
        <v>1</v>
      </c>
      <c r="M2224" s="141">
        <v>0</v>
      </c>
      <c r="N2224" s="141">
        <v>7000</v>
      </c>
      <c r="O2224" s="141" t="s">
        <v>4472</v>
      </c>
      <c r="P2224" s="141" t="s">
        <v>4470</v>
      </c>
    </row>
    <row r="2225" spans="1:16" ht="25.5">
      <c r="A2225" s="141">
        <v>76807</v>
      </c>
      <c r="B2225" s="141" t="s">
        <v>4325</v>
      </c>
      <c r="C2225" s="142">
        <v>41201</v>
      </c>
      <c r="D2225" s="141">
        <v>472</v>
      </c>
      <c r="E2225" s="141" t="str">
        <f t="shared" si="190"/>
        <v>001</v>
      </c>
      <c r="F2225" s="141" t="s">
        <v>4326</v>
      </c>
      <c r="G2225" s="141" t="str">
        <f t="shared" si="196"/>
        <v>FS31</v>
      </c>
      <c r="H2225" s="141" t="s">
        <v>562</v>
      </c>
      <c r="I2225" s="141" t="str">
        <f t="shared" si="191"/>
        <v>999</v>
      </c>
      <c r="J2225" s="141" t="s">
        <v>4327</v>
      </c>
      <c r="K2225" s="141">
        <v>1212</v>
      </c>
      <c r="L2225" s="141">
        <v>1</v>
      </c>
      <c r="M2225" s="141">
        <v>0</v>
      </c>
      <c r="N2225" s="141">
        <v>2000</v>
      </c>
      <c r="O2225" s="141" t="s">
        <v>4330</v>
      </c>
      <c r="P2225" s="141" t="s">
        <v>4443</v>
      </c>
    </row>
    <row r="2226" spans="1:16" ht="25.5">
      <c r="A2226" s="141">
        <v>76807</v>
      </c>
      <c r="B2226" s="141" t="s">
        <v>4325</v>
      </c>
      <c r="C2226" s="142">
        <v>41201</v>
      </c>
      <c r="D2226" s="141">
        <v>472</v>
      </c>
      <c r="E2226" s="141" t="str">
        <f t="shared" si="190"/>
        <v>001</v>
      </c>
      <c r="F2226" s="141" t="s">
        <v>4326</v>
      </c>
      <c r="G2226" s="141" t="str">
        <f t="shared" si="196"/>
        <v>FS31</v>
      </c>
      <c r="H2226" s="141" t="s">
        <v>562</v>
      </c>
      <c r="I2226" s="141" t="str">
        <f t="shared" si="191"/>
        <v>999</v>
      </c>
      <c r="J2226" s="141" t="s">
        <v>4327</v>
      </c>
      <c r="K2226" s="141">
        <v>1213</v>
      </c>
      <c r="L2226" s="141">
        <v>1</v>
      </c>
      <c r="M2226" s="141">
        <v>0</v>
      </c>
      <c r="N2226" s="141">
        <v>7000</v>
      </c>
      <c r="O2226" s="141" t="s">
        <v>4848</v>
      </c>
      <c r="P2226" s="141" t="s">
        <v>4909</v>
      </c>
    </row>
    <row r="2227" spans="1:16" ht="25.5">
      <c r="A2227" s="141">
        <v>76807</v>
      </c>
      <c r="B2227" s="141" t="s">
        <v>4325</v>
      </c>
      <c r="C2227" s="142">
        <v>41201</v>
      </c>
      <c r="D2227" s="141">
        <v>472</v>
      </c>
      <c r="E2227" s="141" t="str">
        <f t="shared" si="190"/>
        <v>001</v>
      </c>
      <c r="F2227" s="141" t="s">
        <v>4326</v>
      </c>
      <c r="G2227" s="141" t="str">
        <f t="shared" si="196"/>
        <v>FS31</v>
      </c>
      <c r="H2227" s="141" t="s">
        <v>562</v>
      </c>
      <c r="I2227" s="141" t="str">
        <f t="shared" si="191"/>
        <v>999</v>
      </c>
      <c r="J2227" s="141" t="s">
        <v>4327</v>
      </c>
      <c r="K2227" s="141">
        <v>2924</v>
      </c>
      <c r="L2227" s="141">
        <v>1</v>
      </c>
      <c r="M2227" s="141">
        <v>0</v>
      </c>
      <c r="N2227" s="141">
        <v>2000</v>
      </c>
      <c r="O2227" s="141" t="s">
        <v>4330</v>
      </c>
      <c r="P2227" s="141" t="s">
        <v>4443</v>
      </c>
    </row>
    <row r="2228" spans="1:16" ht="25.5">
      <c r="A2228" s="141">
        <v>76807</v>
      </c>
      <c r="B2228" s="141" t="s">
        <v>4325</v>
      </c>
      <c r="C2228" s="142">
        <v>41201</v>
      </c>
      <c r="D2228" s="141">
        <v>472</v>
      </c>
      <c r="E2228" s="141" t="str">
        <f t="shared" si="190"/>
        <v>001</v>
      </c>
      <c r="F2228" s="141" t="s">
        <v>4326</v>
      </c>
      <c r="G2228" s="141" t="str">
        <f t="shared" si="196"/>
        <v>FS31</v>
      </c>
      <c r="H2228" s="141" t="s">
        <v>562</v>
      </c>
      <c r="I2228" s="141" t="str">
        <f t="shared" si="191"/>
        <v>999</v>
      </c>
      <c r="J2228" s="141" t="s">
        <v>4327</v>
      </c>
      <c r="K2228" s="141">
        <v>2925</v>
      </c>
      <c r="L2228" s="141">
        <v>1</v>
      </c>
      <c r="M2228" s="141">
        <v>0</v>
      </c>
      <c r="N2228" s="141">
        <v>22000</v>
      </c>
      <c r="O2228" s="141" t="s">
        <v>4463</v>
      </c>
      <c r="P2228" s="141" t="s">
        <v>4910</v>
      </c>
    </row>
    <row r="2229" spans="1:16" ht="25.5">
      <c r="A2229" s="141">
        <v>76807</v>
      </c>
      <c r="B2229" s="141" t="s">
        <v>4325</v>
      </c>
      <c r="C2229" s="142">
        <v>41201</v>
      </c>
      <c r="D2229" s="141">
        <v>472</v>
      </c>
      <c r="E2229" s="141" t="str">
        <f t="shared" si="190"/>
        <v>001</v>
      </c>
      <c r="F2229" s="141" t="s">
        <v>4326</v>
      </c>
      <c r="G2229" s="141" t="str">
        <f t="shared" si="196"/>
        <v>FS31</v>
      </c>
      <c r="H2229" s="141" t="s">
        <v>562</v>
      </c>
      <c r="I2229" s="141" t="str">
        <f t="shared" si="191"/>
        <v>999</v>
      </c>
      <c r="J2229" s="141" t="s">
        <v>4327</v>
      </c>
      <c r="K2229" s="141">
        <v>2926</v>
      </c>
      <c r="L2229" s="141">
        <v>1</v>
      </c>
      <c r="M2229" s="141">
        <v>0</v>
      </c>
      <c r="N2229" s="141">
        <v>15000</v>
      </c>
      <c r="O2229" s="141" t="s">
        <v>4328</v>
      </c>
      <c r="P2229" s="141" t="s">
        <v>4590</v>
      </c>
    </row>
    <row r="2230" spans="1:16" ht="25.5">
      <c r="A2230" s="141">
        <v>76807</v>
      </c>
      <c r="B2230" s="141" t="s">
        <v>4325</v>
      </c>
      <c r="C2230" s="142">
        <v>41201</v>
      </c>
      <c r="D2230" s="141">
        <v>472</v>
      </c>
      <c r="E2230" s="141" t="str">
        <f t="shared" si="190"/>
        <v>001</v>
      </c>
      <c r="F2230" s="141" t="s">
        <v>4326</v>
      </c>
      <c r="G2230" s="141" t="str">
        <f t="shared" si="196"/>
        <v>FS31</v>
      </c>
      <c r="H2230" s="141" t="s">
        <v>562</v>
      </c>
      <c r="I2230" s="141" t="str">
        <f t="shared" si="191"/>
        <v>999</v>
      </c>
      <c r="J2230" s="141" t="s">
        <v>4327</v>
      </c>
      <c r="K2230" s="141">
        <v>2949</v>
      </c>
      <c r="L2230" s="141">
        <v>2</v>
      </c>
      <c r="M2230" s="141">
        <v>0</v>
      </c>
      <c r="N2230" s="141">
        <v>5000</v>
      </c>
      <c r="O2230" s="141" t="s">
        <v>4334</v>
      </c>
      <c r="P2230" s="141" t="s">
        <v>4340</v>
      </c>
    </row>
    <row r="2231" spans="1:16" ht="25.5">
      <c r="A2231" s="141">
        <v>76807</v>
      </c>
      <c r="B2231" s="141" t="s">
        <v>4325</v>
      </c>
      <c r="C2231" s="142">
        <v>41201</v>
      </c>
      <c r="D2231" s="141">
        <v>472</v>
      </c>
      <c r="E2231" s="141" t="str">
        <f t="shared" si="190"/>
        <v>001</v>
      </c>
      <c r="F2231" s="141" t="s">
        <v>4326</v>
      </c>
      <c r="G2231" s="141" t="str">
        <f t="shared" si="196"/>
        <v>FS31</v>
      </c>
      <c r="H2231" s="141" t="s">
        <v>562</v>
      </c>
      <c r="I2231" s="141" t="str">
        <f t="shared" si="191"/>
        <v>999</v>
      </c>
      <c r="J2231" s="141" t="s">
        <v>4327</v>
      </c>
      <c r="K2231" s="141">
        <v>2950</v>
      </c>
      <c r="L2231" s="141">
        <v>1</v>
      </c>
      <c r="M2231" s="141">
        <v>0</v>
      </c>
      <c r="N2231" s="141">
        <v>3000</v>
      </c>
      <c r="O2231" s="141" t="s">
        <v>4334</v>
      </c>
      <c r="P2231" s="141" t="s">
        <v>4335</v>
      </c>
    </row>
    <row r="2232" spans="1:16" ht="25.5">
      <c r="A2232" s="141">
        <v>76807</v>
      </c>
      <c r="B2232" s="141" t="s">
        <v>4325</v>
      </c>
      <c r="C2232" s="142">
        <v>41201</v>
      </c>
      <c r="D2232" s="141">
        <v>1279</v>
      </c>
      <c r="E2232" s="141" t="str">
        <f t="shared" si="190"/>
        <v>001</v>
      </c>
      <c r="F2232" s="141" t="s">
        <v>4326</v>
      </c>
      <c r="G2232" s="141" t="str">
        <f>"FS32"</f>
        <v>FS32</v>
      </c>
      <c r="H2232" s="141" t="s">
        <v>970</v>
      </c>
      <c r="I2232" s="141" t="str">
        <f t="shared" si="191"/>
        <v>999</v>
      </c>
      <c r="J2232" s="141" t="s">
        <v>4327</v>
      </c>
      <c r="K2232" s="141">
        <v>3391</v>
      </c>
      <c r="L2232" s="141">
        <v>1</v>
      </c>
      <c r="M2232" s="141">
        <v>0</v>
      </c>
      <c r="N2232" s="141">
        <v>11000</v>
      </c>
      <c r="O2232" s="141" t="s">
        <v>4327</v>
      </c>
      <c r="P2232" s="141"/>
    </row>
    <row r="2233" spans="1:16" ht="25.5">
      <c r="A2233" s="141">
        <v>76807</v>
      </c>
      <c r="B2233" s="141" t="s">
        <v>4325</v>
      </c>
      <c r="C2233" s="142">
        <v>41201</v>
      </c>
      <c r="D2233" s="141">
        <v>1281</v>
      </c>
      <c r="E2233" s="141" t="str">
        <f t="shared" si="190"/>
        <v>001</v>
      </c>
      <c r="F2233" s="141" t="s">
        <v>4326</v>
      </c>
      <c r="G2233" s="141" t="str">
        <f>"FS40"</f>
        <v>FS40</v>
      </c>
      <c r="H2233" s="141" t="s">
        <v>4120</v>
      </c>
      <c r="I2233" s="141" t="str">
        <f t="shared" si="191"/>
        <v>999</v>
      </c>
      <c r="J2233" s="141" t="s">
        <v>4327</v>
      </c>
      <c r="K2233" s="141">
        <v>3393</v>
      </c>
      <c r="L2233" s="141">
        <v>1</v>
      </c>
      <c r="M2233" s="141">
        <v>0</v>
      </c>
      <c r="N2233" s="141">
        <v>80000</v>
      </c>
      <c r="O2233" s="141" t="s">
        <v>4327</v>
      </c>
      <c r="P2233" s="141"/>
    </row>
    <row r="2234" spans="1:16" ht="25.5">
      <c r="A2234" s="141">
        <v>76807</v>
      </c>
      <c r="B2234" s="141" t="s">
        <v>4325</v>
      </c>
      <c r="C2234" s="142">
        <v>41201</v>
      </c>
      <c r="D2234" s="141">
        <v>1172</v>
      </c>
      <c r="E2234" s="141" t="str">
        <f t="shared" si="190"/>
        <v>001</v>
      </c>
      <c r="F2234" s="141" t="s">
        <v>4326</v>
      </c>
      <c r="G2234" s="141" t="str">
        <f>"FS59"</f>
        <v>FS59</v>
      </c>
      <c r="H2234" s="141" t="s">
        <v>1036</v>
      </c>
      <c r="I2234" s="141" t="str">
        <f t="shared" si="191"/>
        <v>999</v>
      </c>
      <c r="J2234" s="141" t="s">
        <v>4327</v>
      </c>
      <c r="K2234" s="141">
        <v>3065</v>
      </c>
      <c r="L2234" s="141">
        <v>1</v>
      </c>
      <c r="M2234" s="141">
        <v>0</v>
      </c>
      <c r="N2234" s="141">
        <v>7000</v>
      </c>
      <c r="O2234" s="141" t="s">
        <v>4328</v>
      </c>
      <c r="P2234" s="141" t="s">
        <v>4864</v>
      </c>
    </row>
    <row r="2235" spans="1:16" ht="25.5">
      <c r="A2235" s="141">
        <v>76807</v>
      </c>
      <c r="B2235" s="141" t="s">
        <v>4325</v>
      </c>
      <c r="C2235" s="142">
        <v>41201</v>
      </c>
      <c r="D2235" s="141">
        <v>1172</v>
      </c>
      <c r="E2235" s="141" t="str">
        <f t="shared" si="190"/>
        <v>001</v>
      </c>
      <c r="F2235" s="141" t="s">
        <v>4326</v>
      </c>
      <c r="G2235" s="141" t="str">
        <f>"FS59"</f>
        <v>FS59</v>
      </c>
      <c r="H2235" s="141" t="s">
        <v>1036</v>
      </c>
      <c r="I2235" s="141" t="str">
        <f t="shared" si="191"/>
        <v>999</v>
      </c>
      <c r="J2235" s="141" t="s">
        <v>4327</v>
      </c>
      <c r="K2235" s="141">
        <v>3066</v>
      </c>
      <c r="L2235" s="141">
        <v>6</v>
      </c>
      <c r="M2235" s="141">
        <v>0</v>
      </c>
      <c r="N2235" s="141">
        <v>18000</v>
      </c>
      <c r="O2235" s="141" t="s">
        <v>4334</v>
      </c>
      <c r="P2235" s="141" t="s">
        <v>4361</v>
      </c>
    </row>
    <row r="2236" spans="1:16" ht="25.5">
      <c r="A2236" s="141">
        <v>76807</v>
      </c>
      <c r="B2236" s="141" t="s">
        <v>4325</v>
      </c>
      <c r="C2236" s="142">
        <v>41201</v>
      </c>
      <c r="D2236" s="141">
        <v>1172</v>
      </c>
      <c r="E2236" s="141" t="str">
        <f t="shared" si="190"/>
        <v>001</v>
      </c>
      <c r="F2236" s="141" t="s">
        <v>4326</v>
      </c>
      <c r="G2236" s="141" t="str">
        <f>"FS59"</f>
        <v>FS59</v>
      </c>
      <c r="H2236" s="141" t="s">
        <v>1036</v>
      </c>
      <c r="I2236" s="141" t="str">
        <f t="shared" si="191"/>
        <v>999</v>
      </c>
      <c r="J2236" s="141" t="s">
        <v>4327</v>
      </c>
      <c r="K2236" s="141">
        <v>3067</v>
      </c>
      <c r="L2236" s="141">
        <v>1</v>
      </c>
      <c r="M2236" s="141">
        <v>0</v>
      </c>
      <c r="N2236" s="141">
        <v>4000</v>
      </c>
      <c r="O2236" s="141" t="s">
        <v>4434</v>
      </c>
      <c r="P2236" s="141"/>
    </row>
    <row r="2237" spans="1:16" ht="25.5">
      <c r="A2237" s="141">
        <v>76807</v>
      </c>
      <c r="B2237" s="141" t="s">
        <v>4325</v>
      </c>
      <c r="C2237" s="142">
        <v>41201</v>
      </c>
      <c r="D2237" s="141">
        <v>1172</v>
      </c>
      <c r="E2237" s="141" t="str">
        <f t="shared" si="190"/>
        <v>001</v>
      </c>
      <c r="F2237" s="141" t="s">
        <v>4326</v>
      </c>
      <c r="G2237" s="141" t="str">
        <f>"FS59"</f>
        <v>FS59</v>
      </c>
      <c r="H2237" s="141" t="s">
        <v>1036</v>
      </c>
      <c r="I2237" s="141" t="str">
        <f t="shared" si="191"/>
        <v>999</v>
      </c>
      <c r="J2237" s="141" t="s">
        <v>4327</v>
      </c>
      <c r="K2237" s="141">
        <v>3068</v>
      </c>
      <c r="L2237" s="141">
        <v>1</v>
      </c>
      <c r="M2237" s="141">
        <v>0</v>
      </c>
      <c r="N2237" s="141">
        <v>4000</v>
      </c>
      <c r="O2237" s="141" t="s">
        <v>4330</v>
      </c>
      <c r="P2237" s="141" t="s">
        <v>4348</v>
      </c>
    </row>
    <row r="2238" spans="1:16" ht="25.5">
      <c r="A2238" s="141">
        <v>76807</v>
      </c>
      <c r="B2238" s="141" t="s">
        <v>4325</v>
      </c>
      <c r="C2238" s="142">
        <v>41201</v>
      </c>
      <c r="D2238" s="141">
        <v>719</v>
      </c>
      <c r="E2238" s="141" t="str">
        <f t="shared" si="190"/>
        <v>001</v>
      </c>
      <c r="F2238" s="141" t="s">
        <v>4326</v>
      </c>
      <c r="G2238" s="141" t="str">
        <f t="shared" ref="G2238:G2246" si="197">"GOOD"</f>
        <v>GOOD</v>
      </c>
      <c r="H2238" s="141" t="s">
        <v>4911</v>
      </c>
      <c r="I2238" s="141" t="str">
        <f t="shared" si="191"/>
        <v>999</v>
      </c>
      <c r="J2238" s="141" t="s">
        <v>4327</v>
      </c>
      <c r="K2238" s="141">
        <v>2152</v>
      </c>
      <c r="L2238" s="141">
        <v>1</v>
      </c>
      <c r="M2238" s="141">
        <v>0</v>
      </c>
      <c r="N2238" s="141">
        <v>48000</v>
      </c>
      <c r="O2238" s="141" t="s">
        <v>4422</v>
      </c>
      <c r="P2238" s="141" t="s">
        <v>4912</v>
      </c>
    </row>
    <row r="2239" spans="1:16" ht="25.5">
      <c r="A2239" s="141">
        <v>76807</v>
      </c>
      <c r="B2239" s="141" t="s">
        <v>4325</v>
      </c>
      <c r="C2239" s="142">
        <v>41201</v>
      </c>
      <c r="D2239" s="141">
        <v>719</v>
      </c>
      <c r="E2239" s="141" t="str">
        <f t="shared" si="190"/>
        <v>001</v>
      </c>
      <c r="F2239" s="141" t="s">
        <v>4326</v>
      </c>
      <c r="G2239" s="141" t="str">
        <f t="shared" si="197"/>
        <v>GOOD</v>
      </c>
      <c r="H2239" s="141" t="s">
        <v>4911</v>
      </c>
      <c r="I2239" s="141" t="str">
        <f t="shared" si="191"/>
        <v>999</v>
      </c>
      <c r="J2239" s="141" t="s">
        <v>4327</v>
      </c>
      <c r="K2239" s="141">
        <v>2153</v>
      </c>
      <c r="L2239" s="141">
        <v>4</v>
      </c>
      <c r="M2239" s="141">
        <v>0</v>
      </c>
      <c r="N2239" s="141">
        <v>17000</v>
      </c>
      <c r="O2239" s="141" t="s">
        <v>4339</v>
      </c>
      <c r="P2239" s="141" t="s">
        <v>4847</v>
      </c>
    </row>
    <row r="2240" spans="1:16" ht="25.5">
      <c r="A2240" s="141">
        <v>76807</v>
      </c>
      <c r="B2240" s="141" t="s">
        <v>4325</v>
      </c>
      <c r="C2240" s="142">
        <v>41201</v>
      </c>
      <c r="D2240" s="141">
        <v>719</v>
      </c>
      <c r="E2240" s="141" t="str">
        <f t="shared" si="190"/>
        <v>001</v>
      </c>
      <c r="F2240" s="141" t="s">
        <v>4326</v>
      </c>
      <c r="G2240" s="141" t="str">
        <f t="shared" si="197"/>
        <v>GOOD</v>
      </c>
      <c r="H2240" s="141" t="s">
        <v>4911</v>
      </c>
      <c r="I2240" s="141" t="str">
        <f t="shared" si="191"/>
        <v>999</v>
      </c>
      <c r="J2240" s="141" t="s">
        <v>4327</v>
      </c>
      <c r="K2240" s="141">
        <v>2154</v>
      </c>
      <c r="L2240" s="141">
        <v>4</v>
      </c>
      <c r="M2240" s="141">
        <v>0</v>
      </c>
      <c r="N2240" s="141">
        <v>17000</v>
      </c>
      <c r="O2240" s="141" t="s">
        <v>4339</v>
      </c>
      <c r="P2240" s="141" t="s">
        <v>4847</v>
      </c>
    </row>
    <row r="2241" spans="1:16" ht="25.5">
      <c r="A2241" s="141">
        <v>76807</v>
      </c>
      <c r="B2241" s="141" t="s">
        <v>4325</v>
      </c>
      <c r="C2241" s="142">
        <v>41201</v>
      </c>
      <c r="D2241" s="141">
        <v>719</v>
      </c>
      <c r="E2241" s="141" t="str">
        <f t="shared" si="190"/>
        <v>001</v>
      </c>
      <c r="F2241" s="141" t="s">
        <v>4326</v>
      </c>
      <c r="G2241" s="141" t="str">
        <f t="shared" si="197"/>
        <v>GOOD</v>
      </c>
      <c r="H2241" s="141" t="s">
        <v>4911</v>
      </c>
      <c r="I2241" s="141" t="str">
        <f t="shared" si="191"/>
        <v>999</v>
      </c>
      <c r="J2241" s="141" t="s">
        <v>4327</v>
      </c>
      <c r="K2241" s="141">
        <v>2155</v>
      </c>
      <c r="L2241" s="141">
        <v>3</v>
      </c>
      <c r="M2241" s="141">
        <v>0</v>
      </c>
      <c r="N2241" s="141">
        <v>13000</v>
      </c>
      <c r="O2241" s="141" t="s">
        <v>4339</v>
      </c>
      <c r="P2241" s="141" t="s">
        <v>4847</v>
      </c>
    </row>
    <row r="2242" spans="1:16" ht="25.5">
      <c r="A2242" s="141">
        <v>76807</v>
      </c>
      <c r="B2242" s="141" t="s">
        <v>4325</v>
      </c>
      <c r="C2242" s="142">
        <v>41201</v>
      </c>
      <c r="D2242" s="141">
        <v>719</v>
      </c>
      <c r="E2242" s="141" t="str">
        <f t="shared" ref="E2242:E2305" si="198">"001"</f>
        <v>001</v>
      </c>
      <c r="F2242" s="141" t="s">
        <v>4326</v>
      </c>
      <c r="G2242" s="141" t="str">
        <f t="shared" si="197"/>
        <v>GOOD</v>
      </c>
      <c r="H2242" s="141" t="s">
        <v>4911</v>
      </c>
      <c r="I2242" s="141" t="str">
        <f t="shared" ref="I2242:I2305" si="199">"999"</f>
        <v>999</v>
      </c>
      <c r="J2242" s="141" t="s">
        <v>4327</v>
      </c>
      <c r="K2242" s="141">
        <v>2156</v>
      </c>
      <c r="L2242" s="141">
        <v>1</v>
      </c>
      <c r="M2242" s="141">
        <v>0</v>
      </c>
      <c r="N2242" s="141">
        <v>19000</v>
      </c>
      <c r="O2242" s="141" t="s">
        <v>4380</v>
      </c>
      <c r="P2242" s="141" t="s">
        <v>4913</v>
      </c>
    </row>
    <row r="2243" spans="1:16" ht="25.5">
      <c r="A2243" s="141">
        <v>76807</v>
      </c>
      <c r="B2243" s="141" t="s">
        <v>4325</v>
      </c>
      <c r="C2243" s="142">
        <v>41201</v>
      </c>
      <c r="D2243" s="141">
        <v>719</v>
      </c>
      <c r="E2243" s="141" t="str">
        <f t="shared" si="198"/>
        <v>001</v>
      </c>
      <c r="F2243" s="141" t="s">
        <v>4326</v>
      </c>
      <c r="G2243" s="141" t="str">
        <f t="shared" si="197"/>
        <v>GOOD</v>
      </c>
      <c r="H2243" s="141" t="s">
        <v>4911</v>
      </c>
      <c r="I2243" s="141" t="str">
        <f t="shared" si="199"/>
        <v>999</v>
      </c>
      <c r="J2243" s="141" t="s">
        <v>4327</v>
      </c>
      <c r="K2243" s="141">
        <v>2157</v>
      </c>
      <c r="L2243" s="141">
        <v>1</v>
      </c>
      <c r="M2243" s="141">
        <v>0</v>
      </c>
      <c r="N2243" s="141">
        <v>3000</v>
      </c>
      <c r="O2243" s="141" t="s">
        <v>4914</v>
      </c>
      <c r="P2243" s="141"/>
    </row>
    <row r="2244" spans="1:16" ht="25.5">
      <c r="A2244" s="141">
        <v>76807</v>
      </c>
      <c r="B2244" s="141" t="s">
        <v>4325</v>
      </c>
      <c r="C2244" s="142">
        <v>41201</v>
      </c>
      <c r="D2244" s="141">
        <v>719</v>
      </c>
      <c r="E2244" s="141" t="str">
        <f t="shared" si="198"/>
        <v>001</v>
      </c>
      <c r="F2244" s="141" t="s">
        <v>4326</v>
      </c>
      <c r="G2244" s="141" t="str">
        <f t="shared" si="197"/>
        <v>GOOD</v>
      </c>
      <c r="H2244" s="141" t="s">
        <v>4911</v>
      </c>
      <c r="I2244" s="141" t="str">
        <f t="shared" si="199"/>
        <v>999</v>
      </c>
      <c r="J2244" s="141" t="s">
        <v>4327</v>
      </c>
      <c r="K2244" s="141">
        <v>2158</v>
      </c>
      <c r="L2244" s="141">
        <v>1</v>
      </c>
      <c r="M2244" s="141">
        <v>0</v>
      </c>
      <c r="N2244" s="141">
        <v>30000</v>
      </c>
      <c r="O2244" s="141" t="s">
        <v>4566</v>
      </c>
      <c r="P2244" s="141"/>
    </row>
    <row r="2245" spans="1:16" ht="25.5">
      <c r="A2245" s="141">
        <v>76807</v>
      </c>
      <c r="B2245" s="141" t="s">
        <v>4325</v>
      </c>
      <c r="C2245" s="142">
        <v>41201</v>
      </c>
      <c r="D2245" s="141">
        <v>719</v>
      </c>
      <c r="E2245" s="141" t="str">
        <f t="shared" si="198"/>
        <v>001</v>
      </c>
      <c r="F2245" s="141" t="s">
        <v>4326</v>
      </c>
      <c r="G2245" s="141" t="str">
        <f t="shared" si="197"/>
        <v>GOOD</v>
      </c>
      <c r="H2245" s="141" t="s">
        <v>4911</v>
      </c>
      <c r="I2245" s="141" t="str">
        <f t="shared" si="199"/>
        <v>999</v>
      </c>
      <c r="J2245" s="141" t="s">
        <v>4327</v>
      </c>
      <c r="K2245" s="141">
        <v>2159</v>
      </c>
      <c r="L2245" s="141">
        <v>1</v>
      </c>
      <c r="M2245" s="141">
        <v>0</v>
      </c>
      <c r="N2245" s="141">
        <v>17000</v>
      </c>
      <c r="O2245" s="141" t="s">
        <v>4915</v>
      </c>
      <c r="P2245" s="141"/>
    </row>
    <row r="2246" spans="1:16" ht="25.5">
      <c r="A2246" s="141">
        <v>76807</v>
      </c>
      <c r="B2246" s="141" t="s">
        <v>4325</v>
      </c>
      <c r="C2246" s="142">
        <v>41201</v>
      </c>
      <c r="D2246" s="141">
        <v>719</v>
      </c>
      <c r="E2246" s="141" t="str">
        <f t="shared" si="198"/>
        <v>001</v>
      </c>
      <c r="F2246" s="141" t="s">
        <v>4326</v>
      </c>
      <c r="G2246" s="141" t="str">
        <f t="shared" si="197"/>
        <v>GOOD</v>
      </c>
      <c r="H2246" s="141" t="s">
        <v>4911</v>
      </c>
      <c r="I2246" s="141" t="str">
        <f t="shared" si="199"/>
        <v>999</v>
      </c>
      <c r="J2246" s="141" t="s">
        <v>4327</v>
      </c>
      <c r="K2246" s="141">
        <v>2160</v>
      </c>
      <c r="L2246" s="141">
        <v>1</v>
      </c>
      <c r="M2246" s="141">
        <v>0</v>
      </c>
      <c r="N2246" s="141">
        <v>114000</v>
      </c>
      <c r="O2246" s="141" t="s">
        <v>4567</v>
      </c>
      <c r="P2246" s="141"/>
    </row>
    <row r="2247" spans="1:16" ht="25.5">
      <c r="A2247" s="141">
        <v>76807</v>
      </c>
      <c r="B2247" s="141" t="s">
        <v>4325</v>
      </c>
      <c r="C2247" s="142">
        <v>41201</v>
      </c>
      <c r="D2247" s="141">
        <v>702</v>
      </c>
      <c r="E2247" s="141" t="str">
        <f t="shared" si="198"/>
        <v>001</v>
      </c>
      <c r="F2247" s="141" t="s">
        <v>4326</v>
      </c>
      <c r="G2247" s="141" t="str">
        <f t="shared" ref="G2247:G2252" si="200">"JMM"</f>
        <v>JMM</v>
      </c>
      <c r="H2247" s="141" t="s">
        <v>735</v>
      </c>
      <c r="I2247" s="141" t="str">
        <f t="shared" si="199"/>
        <v>999</v>
      </c>
      <c r="J2247" s="141" t="s">
        <v>4327</v>
      </c>
      <c r="K2247" s="141">
        <v>1942</v>
      </c>
      <c r="L2247" s="141">
        <v>1</v>
      </c>
      <c r="M2247" s="141">
        <v>0</v>
      </c>
      <c r="N2247" s="141">
        <v>2000</v>
      </c>
      <c r="O2247" s="141" t="s">
        <v>4330</v>
      </c>
      <c r="P2247" s="141" t="s">
        <v>4356</v>
      </c>
    </row>
    <row r="2248" spans="1:16" ht="25.5">
      <c r="A2248" s="141">
        <v>76807</v>
      </c>
      <c r="B2248" s="141" t="s">
        <v>4325</v>
      </c>
      <c r="C2248" s="142">
        <v>41201</v>
      </c>
      <c r="D2248" s="141">
        <v>702</v>
      </c>
      <c r="E2248" s="141" t="str">
        <f t="shared" si="198"/>
        <v>001</v>
      </c>
      <c r="F2248" s="141" t="s">
        <v>4326</v>
      </c>
      <c r="G2248" s="141" t="str">
        <f t="shared" si="200"/>
        <v>JMM</v>
      </c>
      <c r="H2248" s="141" t="s">
        <v>735</v>
      </c>
      <c r="I2248" s="141" t="str">
        <f t="shared" si="199"/>
        <v>999</v>
      </c>
      <c r="J2248" s="141" t="s">
        <v>4327</v>
      </c>
      <c r="K2248" s="141">
        <v>1943</v>
      </c>
      <c r="L2248" s="141">
        <v>1</v>
      </c>
      <c r="M2248" s="141">
        <v>0</v>
      </c>
      <c r="N2248" s="141">
        <v>2000</v>
      </c>
      <c r="O2248" s="141" t="s">
        <v>4330</v>
      </c>
      <c r="P2248" s="141" t="s">
        <v>4356</v>
      </c>
    </row>
    <row r="2249" spans="1:16" ht="25.5">
      <c r="A2249" s="141">
        <v>76807</v>
      </c>
      <c r="B2249" s="141" t="s">
        <v>4325</v>
      </c>
      <c r="C2249" s="142">
        <v>41201</v>
      </c>
      <c r="D2249" s="141">
        <v>702</v>
      </c>
      <c r="E2249" s="141" t="str">
        <f t="shared" si="198"/>
        <v>001</v>
      </c>
      <c r="F2249" s="141" t="s">
        <v>4326</v>
      </c>
      <c r="G2249" s="141" t="str">
        <f t="shared" si="200"/>
        <v>JMM</v>
      </c>
      <c r="H2249" s="141" t="s">
        <v>735</v>
      </c>
      <c r="I2249" s="141" t="str">
        <f t="shared" si="199"/>
        <v>999</v>
      </c>
      <c r="J2249" s="141" t="s">
        <v>4327</v>
      </c>
      <c r="K2249" s="141">
        <v>1944</v>
      </c>
      <c r="L2249" s="141">
        <v>1</v>
      </c>
      <c r="M2249" s="141">
        <v>0</v>
      </c>
      <c r="N2249" s="141">
        <v>2000</v>
      </c>
      <c r="O2249" s="141" t="s">
        <v>4330</v>
      </c>
      <c r="P2249" s="141" t="s">
        <v>4356</v>
      </c>
    </row>
    <row r="2250" spans="1:16" ht="25.5">
      <c r="A2250" s="141">
        <v>76807</v>
      </c>
      <c r="B2250" s="141" t="s">
        <v>4325</v>
      </c>
      <c r="C2250" s="142">
        <v>41201</v>
      </c>
      <c r="D2250" s="141">
        <v>702</v>
      </c>
      <c r="E2250" s="141" t="str">
        <f t="shared" si="198"/>
        <v>001</v>
      </c>
      <c r="F2250" s="141" t="s">
        <v>4326</v>
      </c>
      <c r="G2250" s="141" t="str">
        <f t="shared" si="200"/>
        <v>JMM</v>
      </c>
      <c r="H2250" s="141" t="s">
        <v>735</v>
      </c>
      <c r="I2250" s="141" t="str">
        <f t="shared" si="199"/>
        <v>999</v>
      </c>
      <c r="J2250" s="141" t="s">
        <v>4327</v>
      </c>
      <c r="K2250" s="141">
        <v>1945</v>
      </c>
      <c r="L2250" s="141">
        <v>1</v>
      </c>
      <c r="M2250" s="141">
        <v>0</v>
      </c>
      <c r="N2250" s="141">
        <v>2000</v>
      </c>
      <c r="O2250" s="141" t="s">
        <v>4330</v>
      </c>
      <c r="P2250" s="141" t="s">
        <v>4356</v>
      </c>
    </row>
    <row r="2251" spans="1:16" ht="25.5">
      <c r="A2251" s="141">
        <v>76807</v>
      </c>
      <c r="B2251" s="141" t="s">
        <v>4325</v>
      </c>
      <c r="C2251" s="142">
        <v>41201</v>
      </c>
      <c r="D2251" s="141">
        <v>702</v>
      </c>
      <c r="E2251" s="141" t="str">
        <f t="shared" si="198"/>
        <v>001</v>
      </c>
      <c r="F2251" s="141" t="s">
        <v>4326</v>
      </c>
      <c r="G2251" s="141" t="str">
        <f t="shared" si="200"/>
        <v>JMM</v>
      </c>
      <c r="H2251" s="141" t="s">
        <v>735</v>
      </c>
      <c r="I2251" s="141" t="str">
        <f t="shared" si="199"/>
        <v>999</v>
      </c>
      <c r="J2251" s="141" t="s">
        <v>4327</v>
      </c>
      <c r="K2251" s="141">
        <v>1946</v>
      </c>
      <c r="L2251" s="141">
        <v>1</v>
      </c>
      <c r="M2251" s="141">
        <v>0</v>
      </c>
      <c r="N2251" s="141">
        <v>2000</v>
      </c>
      <c r="O2251" s="141" t="s">
        <v>4330</v>
      </c>
      <c r="P2251" s="141" t="s">
        <v>4356</v>
      </c>
    </row>
    <row r="2252" spans="1:16" ht="25.5">
      <c r="A2252" s="141">
        <v>76807</v>
      </c>
      <c r="B2252" s="141" t="s">
        <v>4325</v>
      </c>
      <c r="C2252" s="142">
        <v>41201</v>
      </c>
      <c r="D2252" s="141">
        <v>702</v>
      </c>
      <c r="E2252" s="141" t="str">
        <f t="shared" si="198"/>
        <v>001</v>
      </c>
      <c r="F2252" s="141" t="s">
        <v>4326</v>
      </c>
      <c r="G2252" s="141" t="str">
        <f t="shared" si="200"/>
        <v>JMM</v>
      </c>
      <c r="H2252" s="141" t="s">
        <v>735</v>
      </c>
      <c r="I2252" s="141" t="str">
        <f t="shared" si="199"/>
        <v>999</v>
      </c>
      <c r="J2252" s="141" t="s">
        <v>4327</v>
      </c>
      <c r="K2252" s="141">
        <v>1947</v>
      </c>
      <c r="L2252" s="141">
        <v>1</v>
      </c>
      <c r="M2252" s="141">
        <v>0</v>
      </c>
      <c r="N2252" s="141">
        <v>2000</v>
      </c>
      <c r="O2252" s="141" t="s">
        <v>4330</v>
      </c>
      <c r="P2252" s="141" t="s">
        <v>4356</v>
      </c>
    </row>
    <row r="2253" spans="1:16" ht="25.5">
      <c r="A2253" s="141">
        <v>76807</v>
      </c>
      <c r="B2253" s="141" t="s">
        <v>4325</v>
      </c>
      <c r="C2253" s="142">
        <v>41201</v>
      </c>
      <c r="D2253" s="141">
        <v>1284</v>
      </c>
      <c r="E2253" s="141" t="str">
        <f t="shared" si="198"/>
        <v>001</v>
      </c>
      <c r="F2253" s="141" t="s">
        <v>4326</v>
      </c>
      <c r="G2253" s="141" t="str">
        <f t="shared" ref="G2253:G2262" si="201">"LEGEND"</f>
        <v>LEGEND</v>
      </c>
      <c r="H2253" s="141" t="s">
        <v>4146</v>
      </c>
      <c r="I2253" s="141" t="str">
        <f t="shared" si="199"/>
        <v>999</v>
      </c>
      <c r="J2253" s="141" t="s">
        <v>4327</v>
      </c>
      <c r="K2253" s="141">
        <v>3396</v>
      </c>
      <c r="L2253" s="141">
        <v>28</v>
      </c>
      <c r="M2253" s="141">
        <v>0</v>
      </c>
      <c r="N2253" s="141">
        <v>47000</v>
      </c>
      <c r="O2253" s="141" t="s">
        <v>4334</v>
      </c>
      <c r="P2253" s="141" t="s">
        <v>4363</v>
      </c>
    </row>
    <row r="2254" spans="1:16" ht="25.5">
      <c r="A2254" s="141">
        <v>76807</v>
      </c>
      <c r="B2254" s="141" t="s">
        <v>4325</v>
      </c>
      <c r="C2254" s="142">
        <v>41201</v>
      </c>
      <c r="D2254" s="141">
        <v>1284</v>
      </c>
      <c r="E2254" s="141" t="str">
        <f t="shared" si="198"/>
        <v>001</v>
      </c>
      <c r="F2254" s="141" t="s">
        <v>4326</v>
      </c>
      <c r="G2254" s="141" t="str">
        <f t="shared" si="201"/>
        <v>LEGEND</v>
      </c>
      <c r="H2254" s="141" t="s">
        <v>4146</v>
      </c>
      <c r="I2254" s="141" t="str">
        <f t="shared" si="199"/>
        <v>999</v>
      </c>
      <c r="J2254" s="141" t="s">
        <v>4327</v>
      </c>
      <c r="K2254" s="141">
        <v>3397</v>
      </c>
      <c r="L2254" s="141">
        <v>1</v>
      </c>
      <c r="M2254" s="141">
        <v>0</v>
      </c>
      <c r="N2254" s="141">
        <v>2000</v>
      </c>
      <c r="O2254" s="141" t="s">
        <v>4405</v>
      </c>
      <c r="P2254" s="141" t="s">
        <v>4916</v>
      </c>
    </row>
    <row r="2255" spans="1:16" ht="25.5">
      <c r="A2255" s="141">
        <v>76807</v>
      </c>
      <c r="B2255" s="141" t="s">
        <v>4325</v>
      </c>
      <c r="C2255" s="142">
        <v>41201</v>
      </c>
      <c r="D2255" s="141">
        <v>1284</v>
      </c>
      <c r="E2255" s="141" t="str">
        <f t="shared" si="198"/>
        <v>001</v>
      </c>
      <c r="F2255" s="141" t="s">
        <v>4326</v>
      </c>
      <c r="G2255" s="141" t="str">
        <f t="shared" si="201"/>
        <v>LEGEND</v>
      </c>
      <c r="H2255" s="141" t="s">
        <v>4146</v>
      </c>
      <c r="I2255" s="141" t="str">
        <f t="shared" si="199"/>
        <v>999</v>
      </c>
      <c r="J2255" s="141" t="s">
        <v>4327</v>
      </c>
      <c r="K2255" s="141">
        <v>3398</v>
      </c>
      <c r="L2255" s="141">
        <v>1</v>
      </c>
      <c r="M2255" s="141">
        <v>0</v>
      </c>
      <c r="N2255" s="141">
        <v>2000</v>
      </c>
      <c r="O2255" s="141" t="s">
        <v>4405</v>
      </c>
      <c r="P2255" s="141" t="s">
        <v>4916</v>
      </c>
    </row>
    <row r="2256" spans="1:16" ht="25.5">
      <c r="A2256" s="141">
        <v>76807</v>
      </c>
      <c r="B2256" s="141" t="s">
        <v>4325</v>
      </c>
      <c r="C2256" s="142">
        <v>41201</v>
      </c>
      <c r="D2256" s="141">
        <v>1284</v>
      </c>
      <c r="E2256" s="141" t="str">
        <f t="shared" si="198"/>
        <v>001</v>
      </c>
      <c r="F2256" s="141" t="s">
        <v>4326</v>
      </c>
      <c r="G2256" s="141" t="str">
        <f t="shared" si="201"/>
        <v>LEGEND</v>
      </c>
      <c r="H2256" s="141" t="s">
        <v>4146</v>
      </c>
      <c r="I2256" s="141" t="str">
        <f t="shared" si="199"/>
        <v>999</v>
      </c>
      <c r="J2256" s="141" t="s">
        <v>4327</v>
      </c>
      <c r="K2256" s="141">
        <v>3399</v>
      </c>
      <c r="L2256" s="141">
        <v>1</v>
      </c>
      <c r="M2256" s="141">
        <v>0</v>
      </c>
      <c r="N2256" s="141">
        <v>2000</v>
      </c>
      <c r="O2256" s="141" t="s">
        <v>4405</v>
      </c>
      <c r="P2256" s="141" t="s">
        <v>4916</v>
      </c>
    </row>
    <row r="2257" spans="1:16" ht="25.5">
      <c r="A2257" s="141">
        <v>76807</v>
      </c>
      <c r="B2257" s="141" t="s">
        <v>4325</v>
      </c>
      <c r="C2257" s="142">
        <v>41201</v>
      </c>
      <c r="D2257" s="141">
        <v>1284</v>
      </c>
      <c r="E2257" s="141" t="str">
        <f t="shared" si="198"/>
        <v>001</v>
      </c>
      <c r="F2257" s="141" t="s">
        <v>4326</v>
      </c>
      <c r="G2257" s="141" t="str">
        <f t="shared" si="201"/>
        <v>LEGEND</v>
      </c>
      <c r="H2257" s="141" t="s">
        <v>4146</v>
      </c>
      <c r="I2257" s="141" t="str">
        <f t="shared" si="199"/>
        <v>999</v>
      </c>
      <c r="J2257" s="141" t="s">
        <v>4327</v>
      </c>
      <c r="K2257" s="141">
        <v>3400</v>
      </c>
      <c r="L2257" s="141">
        <v>1</v>
      </c>
      <c r="M2257" s="141">
        <v>0</v>
      </c>
      <c r="N2257" s="141">
        <v>2000</v>
      </c>
      <c r="O2257" s="141" t="s">
        <v>4405</v>
      </c>
      <c r="P2257" s="141" t="s">
        <v>4916</v>
      </c>
    </row>
    <row r="2258" spans="1:16" ht="25.5">
      <c r="A2258" s="141">
        <v>76807</v>
      </c>
      <c r="B2258" s="141" t="s">
        <v>4325</v>
      </c>
      <c r="C2258" s="142">
        <v>41201</v>
      </c>
      <c r="D2258" s="141">
        <v>1284</v>
      </c>
      <c r="E2258" s="141" t="str">
        <f t="shared" si="198"/>
        <v>001</v>
      </c>
      <c r="F2258" s="141" t="s">
        <v>4326</v>
      </c>
      <c r="G2258" s="141" t="str">
        <f t="shared" si="201"/>
        <v>LEGEND</v>
      </c>
      <c r="H2258" s="141" t="s">
        <v>4146</v>
      </c>
      <c r="I2258" s="141" t="str">
        <f t="shared" si="199"/>
        <v>999</v>
      </c>
      <c r="J2258" s="141" t="s">
        <v>4327</v>
      </c>
      <c r="K2258" s="141">
        <v>3401</v>
      </c>
      <c r="L2258" s="141">
        <v>1</v>
      </c>
      <c r="M2258" s="141">
        <v>0</v>
      </c>
      <c r="N2258" s="141">
        <v>2000</v>
      </c>
      <c r="O2258" s="141" t="s">
        <v>4405</v>
      </c>
      <c r="P2258" s="141" t="s">
        <v>4916</v>
      </c>
    </row>
    <row r="2259" spans="1:16" ht="25.5">
      <c r="A2259" s="141">
        <v>76807</v>
      </c>
      <c r="B2259" s="141" t="s">
        <v>4325</v>
      </c>
      <c r="C2259" s="142">
        <v>41201</v>
      </c>
      <c r="D2259" s="141">
        <v>1284</v>
      </c>
      <c r="E2259" s="141" t="str">
        <f t="shared" si="198"/>
        <v>001</v>
      </c>
      <c r="F2259" s="141" t="s">
        <v>4326</v>
      </c>
      <c r="G2259" s="141" t="str">
        <f t="shared" si="201"/>
        <v>LEGEND</v>
      </c>
      <c r="H2259" s="141" t="s">
        <v>4146</v>
      </c>
      <c r="I2259" s="141" t="str">
        <f t="shared" si="199"/>
        <v>999</v>
      </c>
      <c r="J2259" s="141" t="s">
        <v>4327</v>
      </c>
      <c r="K2259" s="141">
        <v>3402</v>
      </c>
      <c r="L2259" s="141">
        <v>1</v>
      </c>
      <c r="M2259" s="141">
        <v>0</v>
      </c>
      <c r="N2259" s="141">
        <v>2000</v>
      </c>
      <c r="O2259" s="141" t="s">
        <v>4405</v>
      </c>
      <c r="P2259" s="141" t="s">
        <v>4916</v>
      </c>
    </row>
    <row r="2260" spans="1:16" ht="25.5">
      <c r="A2260" s="141">
        <v>76807</v>
      </c>
      <c r="B2260" s="141" t="s">
        <v>4325</v>
      </c>
      <c r="C2260" s="142">
        <v>41201</v>
      </c>
      <c r="D2260" s="141">
        <v>1284</v>
      </c>
      <c r="E2260" s="141" t="str">
        <f t="shared" si="198"/>
        <v>001</v>
      </c>
      <c r="F2260" s="141" t="s">
        <v>4326</v>
      </c>
      <c r="G2260" s="141" t="str">
        <f t="shared" si="201"/>
        <v>LEGEND</v>
      </c>
      <c r="H2260" s="141" t="s">
        <v>4146</v>
      </c>
      <c r="I2260" s="141" t="str">
        <f t="shared" si="199"/>
        <v>999</v>
      </c>
      <c r="J2260" s="141" t="s">
        <v>4327</v>
      </c>
      <c r="K2260" s="141">
        <v>3403</v>
      </c>
      <c r="L2260" s="141">
        <v>1</v>
      </c>
      <c r="M2260" s="141">
        <v>0</v>
      </c>
      <c r="N2260" s="141">
        <v>2000</v>
      </c>
      <c r="O2260" s="141" t="s">
        <v>4405</v>
      </c>
      <c r="P2260" s="141" t="s">
        <v>4916</v>
      </c>
    </row>
    <row r="2261" spans="1:16" ht="25.5">
      <c r="A2261" s="141">
        <v>76807</v>
      </c>
      <c r="B2261" s="141" t="s">
        <v>4325</v>
      </c>
      <c r="C2261" s="142">
        <v>41201</v>
      </c>
      <c r="D2261" s="141">
        <v>1284</v>
      </c>
      <c r="E2261" s="141" t="str">
        <f t="shared" si="198"/>
        <v>001</v>
      </c>
      <c r="F2261" s="141" t="s">
        <v>4326</v>
      </c>
      <c r="G2261" s="141" t="str">
        <f t="shared" si="201"/>
        <v>LEGEND</v>
      </c>
      <c r="H2261" s="141" t="s">
        <v>4146</v>
      </c>
      <c r="I2261" s="141" t="str">
        <f t="shared" si="199"/>
        <v>999</v>
      </c>
      <c r="J2261" s="141" t="s">
        <v>4327</v>
      </c>
      <c r="K2261" s="141">
        <v>3404</v>
      </c>
      <c r="L2261" s="141">
        <v>1</v>
      </c>
      <c r="M2261" s="141">
        <v>0</v>
      </c>
      <c r="N2261" s="141">
        <v>2000</v>
      </c>
      <c r="O2261" s="141" t="s">
        <v>4351</v>
      </c>
      <c r="P2261" s="141" t="s">
        <v>4917</v>
      </c>
    </row>
    <row r="2262" spans="1:16" ht="25.5">
      <c r="A2262" s="141">
        <v>76807</v>
      </c>
      <c r="B2262" s="141" t="s">
        <v>4325</v>
      </c>
      <c r="C2262" s="142">
        <v>41201</v>
      </c>
      <c r="D2262" s="141">
        <v>1284</v>
      </c>
      <c r="E2262" s="141" t="str">
        <f t="shared" si="198"/>
        <v>001</v>
      </c>
      <c r="F2262" s="141" t="s">
        <v>4326</v>
      </c>
      <c r="G2262" s="141" t="str">
        <f t="shared" si="201"/>
        <v>LEGEND</v>
      </c>
      <c r="H2262" s="141" t="s">
        <v>4146</v>
      </c>
      <c r="I2262" s="141" t="str">
        <f t="shared" si="199"/>
        <v>999</v>
      </c>
      <c r="J2262" s="141" t="s">
        <v>4327</v>
      </c>
      <c r="K2262" s="141">
        <v>3405</v>
      </c>
      <c r="L2262" s="141">
        <v>2</v>
      </c>
      <c r="M2262" s="141">
        <v>0</v>
      </c>
      <c r="N2262" s="141">
        <v>3000</v>
      </c>
      <c r="O2262" s="141" t="s">
        <v>4515</v>
      </c>
      <c r="P2262" s="141"/>
    </row>
    <row r="2263" spans="1:16" ht="25.5">
      <c r="A2263" s="141">
        <v>76807</v>
      </c>
      <c r="B2263" s="141" t="s">
        <v>4325</v>
      </c>
      <c r="C2263" s="142">
        <v>41201</v>
      </c>
      <c r="D2263" s="141">
        <v>1182</v>
      </c>
      <c r="E2263" s="141" t="str">
        <f t="shared" si="198"/>
        <v>001</v>
      </c>
      <c r="F2263" s="141" t="s">
        <v>4326</v>
      </c>
      <c r="G2263" s="141" t="str">
        <f t="shared" ref="G2263:G2282" si="202">"LORP"</f>
        <v>LORP</v>
      </c>
      <c r="H2263" s="141" t="s">
        <v>2432</v>
      </c>
      <c r="I2263" s="141" t="str">
        <f t="shared" si="199"/>
        <v>999</v>
      </c>
      <c r="J2263" s="141" t="s">
        <v>4327</v>
      </c>
      <c r="K2263" s="141">
        <v>3206</v>
      </c>
      <c r="L2263" s="141">
        <v>1</v>
      </c>
      <c r="M2263" s="141">
        <v>0</v>
      </c>
      <c r="N2263" s="141">
        <v>30000</v>
      </c>
      <c r="O2263" s="141" t="s">
        <v>4373</v>
      </c>
      <c r="P2263" s="141" t="s">
        <v>4918</v>
      </c>
    </row>
    <row r="2264" spans="1:16" ht="25.5">
      <c r="A2264" s="141">
        <v>76807</v>
      </c>
      <c r="B2264" s="141" t="s">
        <v>4325</v>
      </c>
      <c r="C2264" s="142">
        <v>41201</v>
      </c>
      <c r="D2264" s="141">
        <v>1182</v>
      </c>
      <c r="E2264" s="141" t="str">
        <f t="shared" si="198"/>
        <v>001</v>
      </c>
      <c r="F2264" s="141" t="s">
        <v>4326</v>
      </c>
      <c r="G2264" s="141" t="str">
        <f t="shared" si="202"/>
        <v>LORP</v>
      </c>
      <c r="H2264" s="141" t="s">
        <v>2432</v>
      </c>
      <c r="I2264" s="141" t="str">
        <f t="shared" si="199"/>
        <v>999</v>
      </c>
      <c r="J2264" s="141" t="s">
        <v>4327</v>
      </c>
      <c r="K2264" s="141">
        <v>3207</v>
      </c>
      <c r="L2264" s="141">
        <v>1</v>
      </c>
      <c r="M2264" s="141">
        <v>0</v>
      </c>
      <c r="N2264" s="141">
        <v>0</v>
      </c>
      <c r="O2264" s="141" t="s">
        <v>4455</v>
      </c>
      <c r="P2264" s="141"/>
    </row>
    <row r="2265" spans="1:16" ht="25.5">
      <c r="A2265" s="141">
        <v>76807</v>
      </c>
      <c r="B2265" s="141" t="s">
        <v>4325</v>
      </c>
      <c r="C2265" s="142">
        <v>41201</v>
      </c>
      <c r="D2265" s="141">
        <v>1182</v>
      </c>
      <c r="E2265" s="141" t="str">
        <f t="shared" si="198"/>
        <v>001</v>
      </c>
      <c r="F2265" s="141" t="s">
        <v>4326</v>
      </c>
      <c r="G2265" s="141" t="str">
        <f t="shared" si="202"/>
        <v>LORP</v>
      </c>
      <c r="H2265" s="141" t="s">
        <v>2432</v>
      </c>
      <c r="I2265" s="141" t="str">
        <f t="shared" si="199"/>
        <v>999</v>
      </c>
      <c r="J2265" s="141" t="s">
        <v>4327</v>
      </c>
      <c r="K2265" s="141">
        <v>3208</v>
      </c>
      <c r="L2265" s="141">
        <v>6</v>
      </c>
      <c r="M2265" s="141">
        <v>0</v>
      </c>
      <c r="N2265" s="141">
        <v>4000</v>
      </c>
      <c r="O2265" s="141" t="s">
        <v>4343</v>
      </c>
      <c r="P2265" s="141"/>
    </row>
    <row r="2266" spans="1:16" ht="25.5">
      <c r="A2266" s="141">
        <v>76807</v>
      </c>
      <c r="B2266" s="141" t="s">
        <v>4325</v>
      </c>
      <c r="C2266" s="142">
        <v>41201</v>
      </c>
      <c r="D2266" s="141">
        <v>1182</v>
      </c>
      <c r="E2266" s="141" t="str">
        <f t="shared" si="198"/>
        <v>001</v>
      </c>
      <c r="F2266" s="141" t="s">
        <v>4326</v>
      </c>
      <c r="G2266" s="141" t="str">
        <f t="shared" si="202"/>
        <v>LORP</v>
      </c>
      <c r="H2266" s="141" t="s">
        <v>2432</v>
      </c>
      <c r="I2266" s="141" t="str">
        <f t="shared" si="199"/>
        <v>999</v>
      </c>
      <c r="J2266" s="141" t="s">
        <v>4327</v>
      </c>
      <c r="K2266" s="141">
        <v>3209</v>
      </c>
      <c r="L2266" s="141">
        <v>7</v>
      </c>
      <c r="M2266" s="141">
        <v>0</v>
      </c>
      <c r="N2266" s="141">
        <v>4000</v>
      </c>
      <c r="O2266" s="141" t="s">
        <v>4350</v>
      </c>
      <c r="P2266" s="141"/>
    </row>
    <row r="2267" spans="1:16" ht="25.5">
      <c r="A2267" s="141">
        <v>76807</v>
      </c>
      <c r="B2267" s="141" t="s">
        <v>4325</v>
      </c>
      <c r="C2267" s="142">
        <v>41201</v>
      </c>
      <c r="D2267" s="141">
        <v>1182</v>
      </c>
      <c r="E2267" s="141" t="str">
        <f t="shared" si="198"/>
        <v>001</v>
      </c>
      <c r="F2267" s="141" t="s">
        <v>4326</v>
      </c>
      <c r="G2267" s="141" t="str">
        <f t="shared" si="202"/>
        <v>LORP</v>
      </c>
      <c r="H2267" s="141" t="s">
        <v>2432</v>
      </c>
      <c r="I2267" s="141" t="str">
        <f t="shared" si="199"/>
        <v>999</v>
      </c>
      <c r="J2267" s="141" t="s">
        <v>4327</v>
      </c>
      <c r="K2267" s="141">
        <v>3210</v>
      </c>
      <c r="L2267" s="141">
        <v>1</v>
      </c>
      <c r="M2267" s="141">
        <v>0</v>
      </c>
      <c r="N2267" s="141">
        <v>78000</v>
      </c>
      <c r="O2267" s="141" t="s">
        <v>4463</v>
      </c>
      <c r="P2267" s="141" t="s">
        <v>4919</v>
      </c>
    </row>
    <row r="2268" spans="1:16" ht="25.5">
      <c r="A2268" s="141">
        <v>76807</v>
      </c>
      <c r="B2268" s="141" t="s">
        <v>4325</v>
      </c>
      <c r="C2268" s="142">
        <v>41201</v>
      </c>
      <c r="D2268" s="141">
        <v>1182</v>
      </c>
      <c r="E2268" s="141" t="str">
        <f t="shared" si="198"/>
        <v>001</v>
      </c>
      <c r="F2268" s="141" t="s">
        <v>4326</v>
      </c>
      <c r="G2268" s="141" t="str">
        <f t="shared" si="202"/>
        <v>LORP</v>
      </c>
      <c r="H2268" s="141" t="s">
        <v>2432</v>
      </c>
      <c r="I2268" s="141" t="str">
        <f t="shared" si="199"/>
        <v>999</v>
      </c>
      <c r="J2268" s="141" t="s">
        <v>4327</v>
      </c>
      <c r="K2268" s="141">
        <v>3211</v>
      </c>
      <c r="L2268" s="141">
        <v>1</v>
      </c>
      <c r="M2268" s="141">
        <v>0</v>
      </c>
      <c r="N2268" s="141">
        <v>7000</v>
      </c>
      <c r="O2268" s="141" t="s">
        <v>4351</v>
      </c>
      <c r="P2268" s="141" t="s">
        <v>4374</v>
      </c>
    </row>
    <row r="2269" spans="1:16" ht="25.5">
      <c r="A2269" s="141">
        <v>76807</v>
      </c>
      <c r="B2269" s="141" t="s">
        <v>4325</v>
      </c>
      <c r="C2269" s="142">
        <v>41201</v>
      </c>
      <c r="D2269" s="141">
        <v>1182</v>
      </c>
      <c r="E2269" s="141" t="str">
        <f t="shared" si="198"/>
        <v>001</v>
      </c>
      <c r="F2269" s="141" t="s">
        <v>4326</v>
      </c>
      <c r="G2269" s="141" t="str">
        <f t="shared" si="202"/>
        <v>LORP</v>
      </c>
      <c r="H2269" s="141" t="s">
        <v>2432</v>
      </c>
      <c r="I2269" s="141" t="str">
        <f t="shared" si="199"/>
        <v>999</v>
      </c>
      <c r="J2269" s="141" t="s">
        <v>4327</v>
      </c>
      <c r="K2269" s="141">
        <v>3212</v>
      </c>
      <c r="L2269" s="141">
        <v>3</v>
      </c>
      <c r="M2269" s="141">
        <v>0</v>
      </c>
      <c r="N2269" s="141">
        <v>1000</v>
      </c>
      <c r="O2269" s="141" t="s">
        <v>4625</v>
      </c>
      <c r="P2269" s="141"/>
    </row>
    <row r="2270" spans="1:16" ht="25.5">
      <c r="A2270" s="141">
        <v>76807</v>
      </c>
      <c r="B2270" s="141" t="s">
        <v>4325</v>
      </c>
      <c r="C2270" s="142">
        <v>41201</v>
      </c>
      <c r="D2270" s="141">
        <v>1182</v>
      </c>
      <c r="E2270" s="141" t="str">
        <f t="shared" si="198"/>
        <v>001</v>
      </c>
      <c r="F2270" s="141" t="s">
        <v>4326</v>
      </c>
      <c r="G2270" s="141" t="str">
        <f t="shared" si="202"/>
        <v>LORP</v>
      </c>
      <c r="H2270" s="141" t="s">
        <v>2432</v>
      </c>
      <c r="I2270" s="141" t="str">
        <f t="shared" si="199"/>
        <v>999</v>
      </c>
      <c r="J2270" s="141" t="s">
        <v>4327</v>
      </c>
      <c r="K2270" s="141">
        <v>3213</v>
      </c>
      <c r="L2270" s="141">
        <v>2</v>
      </c>
      <c r="M2270" s="141">
        <v>0</v>
      </c>
      <c r="N2270" s="141">
        <v>0</v>
      </c>
      <c r="O2270" s="141" t="s">
        <v>4624</v>
      </c>
      <c r="P2270" s="141"/>
    </row>
    <row r="2271" spans="1:16" ht="25.5">
      <c r="A2271" s="141">
        <v>76807</v>
      </c>
      <c r="B2271" s="141" t="s">
        <v>4325</v>
      </c>
      <c r="C2271" s="142">
        <v>41201</v>
      </c>
      <c r="D2271" s="141">
        <v>1182</v>
      </c>
      <c r="E2271" s="141" t="str">
        <f t="shared" si="198"/>
        <v>001</v>
      </c>
      <c r="F2271" s="141" t="s">
        <v>4326</v>
      </c>
      <c r="G2271" s="141" t="str">
        <f t="shared" si="202"/>
        <v>LORP</v>
      </c>
      <c r="H2271" s="141" t="s">
        <v>2432</v>
      </c>
      <c r="I2271" s="141" t="str">
        <f t="shared" si="199"/>
        <v>999</v>
      </c>
      <c r="J2271" s="141" t="s">
        <v>4327</v>
      </c>
      <c r="K2271" s="141">
        <v>3214</v>
      </c>
      <c r="L2271" s="141">
        <v>1</v>
      </c>
      <c r="M2271" s="141">
        <v>0</v>
      </c>
      <c r="N2271" s="141">
        <v>1000</v>
      </c>
      <c r="O2271" s="141" t="s">
        <v>4381</v>
      </c>
      <c r="P2271" s="141"/>
    </row>
    <row r="2272" spans="1:16" ht="25.5">
      <c r="A2272" s="141">
        <v>76807</v>
      </c>
      <c r="B2272" s="141" t="s">
        <v>4325</v>
      </c>
      <c r="C2272" s="142">
        <v>41201</v>
      </c>
      <c r="D2272" s="141">
        <v>1182</v>
      </c>
      <c r="E2272" s="141" t="str">
        <f t="shared" si="198"/>
        <v>001</v>
      </c>
      <c r="F2272" s="141" t="s">
        <v>4326</v>
      </c>
      <c r="G2272" s="141" t="str">
        <f t="shared" si="202"/>
        <v>LORP</v>
      </c>
      <c r="H2272" s="141" t="s">
        <v>2432</v>
      </c>
      <c r="I2272" s="141" t="str">
        <f t="shared" si="199"/>
        <v>999</v>
      </c>
      <c r="J2272" s="141" t="s">
        <v>4327</v>
      </c>
      <c r="K2272" s="141">
        <v>3215</v>
      </c>
      <c r="L2272" s="141">
        <v>2</v>
      </c>
      <c r="M2272" s="141">
        <v>0</v>
      </c>
      <c r="N2272" s="141">
        <v>4000</v>
      </c>
      <c r="O2272" s="141" t="s">
        <v>4345</v>
      </c>
      <c r="P2272" s="141"/>
    </row>
    <row r="2273" spans="1:16" ht="25.5">
      <c r="A2273" s="141">
        <v>76807</v>
      </c>
      <c r="B2273" s="141" t="s">
        <v>4325</v>
      </c>
      <c r="C2273" s="142">
        <v>41201</v>
      </c>
      <c r="D2273" s="141">
        <v>1182</v>
      </c>
      <c r="E2273" s="141" t="str">
        <f t="shared" si="198"/>
        <v>001</v>
      </c>
      <c r="F2273" s="141" t="s">
        <v>4326</v>
      </c>
      <c r="G2273" s="141" t="str">
        <f t="shared" si="202"/>
        <v>LORP</v>
      </c>
      <c r="H2273" s="141" t="s">
        <v>2432</v>
      </c>
      <c r="I2273" s="141" t="str">
        <f t="shared" si="199"/>
        <v>999</v>
      </c>
      <c r="J2273" s="141" t="s">
        <v>4327</v>
      </c>
      <c r="K2273" s="141">
        <v>3216</v>
      </c>
      <c r="L2273" s="141">
        <v>4</v>
      </c>
      <c r="M2273" s="141">
        <v>0</v>
      </c>
      <c r="N2273" s="141">
        <v>3000</v>
      </c>
      <c r="O2273" s="141" t="s">
        <v>4403</v>
      </c>
      <c r="P2273" s="141"/>
    </row>
    <row r="2274" spans="1:16" ht="25.5">
      <c r="A2274" s="141">
        <v>76807</v>
      </c>
      <c r="B2274" s="141" t="s">
        <v>4325</v>
      </c>
      <c r="C2274" s="142">
        <v>41201</v>
      </c>
      <c r="D2274" s="141">
        <v>1182</v>
      </c>
      <c r="E2274" s="141" t="str">
        <f t="shared" si="198"/>
        <v>001</v>
      </c>
      <c r="F2274" s="141" t="s">
        <v>4326</v>
      </c>
      <c r="G2274" s="141" t="str">
        <f t="shared" si="202"/>
        <v>LORP</v>
      </c>
      <c r="H2274" s="141" t="s">
        <v>2432</v>
      </c>
      <c r="I2274" s="141" t="str">
        <f t="shared" si="199"/>
        <v>999</v>
      </c>
      <c r="J2274" s="141" t="s">
        <v>4327</v>
      </c>
      <c r="K2274" s="141">
        <v>3217</v>
      </c>
      <c r="L2274" s="141">
        <v>1</v>
      </c>
      <c r="M2274" s="141">
        <v>0</v>
      </c>
      <c r="N2274" s="141">
        <v>3000</v>
      </c>
      <c r="O2274" s="141" t="s">
        <v>4434</v>
      </c>
      <c r="P2274" s="141"/>
    </row>
    <row r="2275" spans="1:16" ht="25.5">
      <c r="A2275" s="141">
        <v>76807</v>
      </c>
      <c r="B2275" s="141" t="s">
        <v>4325</v>
      </c>
      <c r="C2275" s="142">
        <v>41201</v>
      </c>
      <c r="D2275" s="141">
        <v>1182</v>
      </c>
      <c r="E2275" s="141" t="str">
        <f t="shared" si="198"/>
        <v>001</v>
      </c>
      <c r="F2275" s="141" t="s">
        <v>4326</v>
      </c>
      <c r="G2275" s="141" t="str">
        <f t="shared" si="202"/>
        <v>LORP</v>
      </c>
      <c r="H2275" s="141" t="s">
        <v>2432</v>
      </c>
      <c r="I2275" s="141" t="str">
        <f t="shared" si="199"/>
        <v>999</v>
      </c>
      <c r="J2275" s="141" t="s">
        <v>4327</v>
      </c>
      <c r="K2275" s="141">
        <v>3218</v>
      </c>
      <c r="L2275" s="141">
        <v>4</v>
      </c>
      <c r="M2275" s="141">
        <v>0</v>
      </c>
      <c r="N2275" s="141">
        <v>69000</v>
      </c>
      <c r="O2275" s="141" t="s">
        <v>4357</v>
      </c>
      <c r="P2275" s="141" t="s">
        <v>4920</v>
      </c>
    </row>
    <row r="2276" spans="1:16" ht="25.5">
      <c r="A2276" s="141">
        <v>76807</v>
      </c>
      <c r="B2276" s="141" t="s">
        <v>4325</v>
      </c>
      <c r="C2276" s="142">
        <v>41201</v>
      </c>
      <c r="D2276" s="141">
        <v>1182</v>
      </c>
      <c r="E2276" s="141" t="str">
        <f t="shared" si="198"/>
        <v>001</v>
      </c>
      <c r="F2276" s="141" t="s">
        <v>4326</v>
      </c>
      <c r="G2276" s="141" t="str">
        <f t="shared" si="202"/>
        <v>LORP</v>
      </c>
      <c r="H2276" s="141" t="s">
        <v>2432</v>
      </c>
      <c r="I2276" s="141" t="str">
        <f t="shared" si="199"/>
        <v>999</v>
      </c>
      <c r="J2276" s="141" t="s">
        <v>4327</v>
      </c>
      <c r="K2276" s="141">
        <v>3219</v>
      </c>
      <c r="L2276" s="141">
        <v>2</v>
      </c>
      <c r="M2276" s="141">
        <v>0</v>
      </c>
      <c r="N2276" s="141">
        <v>56000</v>
      </c>
      <c r="O2276" s="141" t="s">
        <v>4357</v>
      </c>
      <c r="P2276" s="141" t="s">
        <v>4921</v>
      </c>
    </row>
    <row r="2277" spans="1:16" ht="25.5">
      <c r="A2277" s="141">
        <v>76807</v>
      </c>
      <c r="B2277" s="141" t="s">
        <v>4325</v>
      </c>
      <c r="C2277" s="142">
        <v>41201</v>
      </c>
      <c r="D2277" s="141">
        <v>1182</v>
      </c>
      <c r="E2277" s="141" t="str">
        <f t="shared" si="198"/>
        <v>001</v>
      </c>
      <c r="F2277" s="141" t="s">
        <v>4326</v>
      </c>
      <c r="G2277" s="141" t="str">
        <f t="shared" si="202"/>
        <v>LORP</v>
      </c>
      <c r="H2277" s="141" t="s">
        <v>2432</v>
      </c>
      <c r="I2277" s="141" t="str">
        <f t="shared" si="199"/>
        <v>999</v>
      </c>
      <c r="J2277" s="141" t="s">
        <v>4327</v>
      </c>
      <c r="K2277" s="141">
        <v>3220</v>
      </c>
      <c r="L2277" s="141">
        <v>4</v>
      </c>
      <c r="M2277" s="141">
        <v>0</v>
      </c>
      <c r="N2277" s="141">
        <v>18000</v>
      </c>
      <c r="O2277" s="141" t="s">
        <v>4357</v>
      </c>
      <c r="P2277" s="141" t="s">
        <v>4362</v>
      </c>
    </row>
    <row r="2278" spans="1:16" ht="25.5">
      <c r="A2278" s="141">
        <v>76807</v>
      </c>
      <c r="B2278" s="141" t="s">
        <v>4325</v>
      </c>
      <c r="C2278" s="142">
        <v>41201</v>
      </c>
      <c r="D2278" s="141">
        <v>1182</v>
      </c>
      <c r="E2278" s="141" t="str">
        <f t="shared" si="198"/>
        <v>001</v>
      </c>
      <c r="F2278" s="141" t="s">
        <v>4326</v>
      </c>
      <c r="G2278" s="141" t="str">
        <f t="shared" si="202"/>
        <v>LORP</v>
      </c>
      <c r="H2278" s="141" t="s">
        <v>2432</v>
      </c>
      <c r="I2278" s="141" t="str">
        <f t="shared" si="199"/>
        <v>999</v>
      </c>
      <c r="J2278" s="141" t="s">
        <v>4327</v>
      </c>
      <c r="K2278" s="141">
        <v>3221</v>
      </c>
      <c r="L2278" s="141">
        <v>8</v>
      </c>
      <c r="M2278" s="141">
        <v>0</v>
      </c>
      <c r="N2278" s="141">
        <v>30000</v>
      </c>
      <c r="O2278" s="141" t="s">
        <v>4357</v>
      </c>
      <c r="P2278" s="141" t="s">
        <v>4361</v>
      </c>
    </row>
    <row r="2279" spans="1:16" ht="25.5">
      <c r="A2279" s="141">
        <v>76807</v>
      </c>
      <c r="B2279" s="141" t="s">
        <v>4325</v>
      </c>
      <c r="C2279" s="142">
        <v>41201</v>
      </c>
      <c r="D2279" s="141">
        <v>1182</v>
      </c>
      <c r="E2279" s="141" t="str">
        <f t="shared" si="198"/>
        <v>001</v>
      </c>
      <c r="F2279" s="141" t="s">
        <v>4326</v>
      </c>
      <c r="G2279" s="141" t="str">
        <f t="shared" si="202"/>
        <v>LORP</v>
      </c>
      <c r="H2279" s="141" t="s">
        <v>2432</v>
      </c>
      <c r="I2279" s="141" t="str">
        <f t="shared" si="199"/>
        <v>999</v>
      </c>
      <c r="J2279" s="141" t="s">
        <v>4327</v>
      </c>
      <c r="K2279" s="141">
        <v>3222</v>
      </c>
      <c r="L2279" s="141">
        <v>9</v>
      </c>
      <c r="M2279" s="141">
        <v>0</v>
      </c>
      <c r="N2279" s="141">
        <v>20000</v>
      </c>
      <c r="O2279" s="141" t="s">
        <v>4334</v>
      </c>
      <c r="P2279" s="141" t="s">
        <v>4340</v>
      </c>
    </row>
    <row r="2280" spans="1:16" ht="25.5">
      <c r="A2280" s="141">
        <v>76807</v>
      </c>
      <c r="B2280" s="141" t="s">
        <v>4325</v>
      </c>
      <c r="C2280" s="142">
        <v>41201</v>
      </c>
      <c r="D2280" s="141">
        <v>1182</v>
      </c>
      <c r="E2280" s="141" t="str">
        <f t="shared" si="198"/>
        <v>001</v>
      </c>
      <c r="F2280" s="141" t="s">
        <v>4326</v>
      </c>
      <c r="G2280" s="141" t="str">
        <f t="shared" si="202"/>
        <v>LORP</v>
      </c>
      <c r="H2280" s="141" t="s">
        <v>2432</v>
      </c>
      <c r="I2280" s="141" t="str">
        <f t="shared" si="199"/>
        <v>999</v>
      </c>
      <c r="J2280" s="141" t="s">
        <v>4327</v>
      </c>
      <c r="K2280" s="141">
        <v>3337</v>
      </c>
      <c r="L2280" s="141">
        <v>1</v>
      </c>
      <c r="M2280" s="141">
        <v>0</v>
      </c>
      <c r="N2280" s="141">
        <v>16000</v>
      </c>
      <c r="O2280" s="141" t="s">
        <v>4922</v>
      </c>
      <c r="P2280" s="141"/>
    </row>
    <row r="2281" spans="1:16" ht="25.5">
      <c r="A2281" s="141">
        <v>76807</v>
      </c>
      <c r="B2281" s="141" t="s">
        <v>4325</v>
      </c>
      <c r="C2281" s="142">
        <v>41201</v>
      </c>
      <c r="D2281" s="141">
        <v>1182</v>
      </c>
      <c r="E2281" s="141" t="str">
        <f t="shared" si="198"/>
        <v>001</v>
      </c>
      <c r="F2281" s="141" t="s">
        <v>4326</v>
      </c>
      <c r="G2281" s="141" t="str">
        <f t="shared" si="202"/>
        <v>LORP</v>
      </c>
      <c r="H2281" s="141" t="s">
        <v>2432</v>
      </c>
      <c r="I2281" s="141" t="str">
        <f t="shared" si="199"/>
        <v>999</v>
      </c>
      <c r="J2281" s="141" t="s">
        <v>4327</v>
      </c>
      <c r="K2281" s="141">
        <v>3338</v>
      </c>
      <c r="L2281" s="141">
        <v>1</v>
      </c>
      <c r="M2281" s="141">
        <v>0</v>
      </c>
      <c r="N2281" s="141">
        <v>40000</v>
      </c>
      <c r="O2281" s="141" t="s">
        <v>4923</v>
      </c>
      <c r="P2281" s="141"/>
    </row>
    <row r="2282" spans="1:16" ht="25.5">
      <c r="A2282" s="141">
        <v>76807</v>
      </c>
      <c r="B2282" s="141" t="s">
        <v>4325</v>
      </c>
      <c r="C2282" s="142">
        <v>41201</v>
      </c>
      <c r="D2282" s="141">
        <v>1182</v>
      </c>
      <c r="E2282" s="141" t="str">
        <f t="shared" si="198"/>
        <v>001</v>
      </c>
      <c r="F2282" s="141" t="s">
        <v>4326</v>
      </c>
      <c r="G2282" s="141" t="str">
        <f t="shared" si="202"/>
        <v>LORP</v>
      </c>
      <c r="H2282" s="141" t="s">
        <v>2432</v>
      </c>
      <c r="I2282" s="141" t="str">
        <f t="shared" si="199"/>
        <v>999</v>
      </c>
      <c r="J2282" s="141" t="s">
        <v>4327</v>
      </c>
      <c r="K2282" s="141">
        <v>3339</v>
      </c>
      <c r="L2282" s="141">
        <v>1</v>
      </c>
      <c r="M2282" s="141">
        <v>0</v>
      </c>
      <c r="N2282" s="141">
        <v>3000</v>
      </c>
      <c r="O2282" s="141" t="s">
        <v>4507</v>
      </c>
      <c r="P2282" s="141"/>
    </row>
    <row r="2283" spans="1:16" ht="25.5">
      <c r="A2283" s="141">
        <v>76807</v>
      </c>
      <c r="B2283" s="141" t="s">
        <v>4325</v>
      </c>
      <c r="C2283" s="142">
        <v>41201</v>
      </c>
      <c r="D2283" s="141">
        <v>754</v>
      </c>
      <c r="E2283" s="141" t="str">
        <f t="shared" si="198"/>
        <v>001</v>
      </c>
      <c r="F2283" s="141" t="s">
        <v>4326</v>
      </c>
      <c r="G2283" s="141" t="str">
        <f t="shared" ref="G2283:G2324" si="203">"MCC"</f>
        <v>MCC</v>
      </c>
      <c r="H2283" s="141" t="s">
        <v>2636</v>
      </c>
      <c r="I2283" s="141" t="str">
        <f t="shared" si="199"/>
        <v>999</v>
      </c>
      <c r="J2283" s="141" t="s">
        <v>4327</v>
      </c>
      <c r="K2283" s="141">
        <v>2544</v>
      </c>
      <c r="L2283" s="141">
        <v>1</v>
      </c>
      <c r="M2283" s="141">
        <v>0</v>
      </c>
      <c r="N2283" s="141">
        <v>138000</v>
      </c>
      <c r="O2283" s="141" t="s">
        <v>4328</v>
      </c>
      <c r="P2283" s="141" t="s">
        <v>4924</v>
      </c>
    </row>
    <row r="2284" spans="1:16" ht="25.5">
      <c r="A2284" s="141">
        <v>76807</v>
      </c>
      <c r="B2284" s="141" t="s">
        <v>4325</v>
      </c>
      <c r="C2284" s="142">
        <v>41201</v>
      </c>
      <c r="D2284" s="141">
        <v>754</v>
      </c>
      <c r="E2284" s="141" t="str">
        <f t="shared" si="198"/>
        <v>001</v>
      </c>
      <c r="F2284" s="141" t="s">
        <v>4326</v>
      </c>
      <c r="G2284" s="141" t="str">
        <f t="shared" si="203"/>
        <v>MCC</v>
      </c>
      <c r="H2284" s="141" t="s">
        <v>2636</v>
      </c>
      <c r="I2284" s="141" t="str">
        <f t="shared" si="199"/>
        <v>999</v>
      </c>
      <c r="J2284" s="141" t="s">
        <v>4327</v>
      </c>
      <c r="K2284" s="141">
        <v>2545</v>
      </c>
      <c r="L2284" s="141">
        <v>1</v>
      </c>
      <c r="M2284" s="141">
        <v>0</v>
      </c>
      <c r="N2284" s="141">
        <v>74000</v>
      </c>
      <c r="O2284" s="141" t="s">
        <v>4351</v>
      </c>
      <c r="P2284" s="141" t="s">
        <v>4925</v>
      </c>
    </row>
    <row r="2285" spans="1:16" ht="25.5">
      <c r="A2285" s="141">
        <v>76807</v>
      </c>
      <c r="B2285" s="141" t="s">
        <v>4325</v>
      </c>
      <c r="C2285" s="142">
        <v>41201</v>
      </c>
      <c r="D2285" s="141">
        <v>754</v>
      </c>
      <c r="E2285" s="141" t="str">
        <f t="shared" si="198"/>
        <v>001</v>
      </c>
      <c r="F2285" s="141" t="s">
        <v>4326</v>
      </c>
      <c r="G2285" s="141" t="str">
        <f t="shared" si="203"/>
        <v>MCC</v>
      </c>
      <c r="H2285" s="141" t="s">
        <v>2636</v>
      </c>
      <c r="I2285" s="141" t="str">
        <f t="shared" si="199"/>
        <v>999</v>
      </c>
      <c r="J2285" s="141" t="s">
        <v>4327</v>
      </c>
      <c r="K2285" s="141">
        <v>2546</v>
      </c>
      <c r="L2285" s="141">
        <v>60</v>
      </c>
      <c r="M2285" s="141">
        <v>0</v>
      </c>
      <c r="N2285" s="141">
        <v>164000</v>
      </c>
      <c r="O2285" s="141" t="s">
        <v>4357</v>
      </c>
      <c r="P2285" s="141" t="s">
        <v>4340</v>
      </c>
    </row>
    <row r="2286" spans="1:16" ht="25.5">
      <c r="A2286" s="141">
        <v>76807</v>
      </c>
      <c r="B2286" s="141" t="s">
        <v>4325</v>
      </c>
      <c r="C2286" s="142">
        <v>41201</v>
      </c>
      <c r="D2286" s="141">
        <v>754</v>
      </c>
      <c r="E2286" s="141" t="str">
        <f t="shared" si="198"/>
        <v>001</v>
      </c>
      <c r="F2286" s="141" t="s">
        <v>4326</v>
      </c>
      <c r="G2286" s="141" t="str">
        <f t="shared" si="203"/>
        <v>MCC</v>
      </c>
      <c r="H2286" s="141" t="s">
        <v>2636</v>
      </c>
      <c r="I2286" s="141" t="str">
        <f t="shared" si="199"/>
        <v>999</v>
      </c>
      <c r="J2286" s="141" t="s">
        <v>4327</v>
      </c>
      <c r="K2286" s="141">
        <v>2547</v>
      </c>
      <c r="L2286" s="141">
        <v>5</v>
      </c>
      <c r="M2286" s="141">
        <v>0</v>
      </c>
      <c r="N2286" s="141">
        <v>43000</v>
      </c>
      <c r="O2286" s="141" t="s">
        <v>4357</v>
      </c>
      <c r="P2286" s="141" t="s">
        <v>4628</v>
      </c>
    </row>
    <row r="2287" spans="1:16" ht="25.5">
      <c r="A2287" s="141">
        <v>76807</v>
      </c>
      <c r="B2287" s="141" t="s">
        <v>4325</v>
      </c>
      <c r="C2287" s="142">
        <v>41201</v>
      </c>
      <c r="D2287" s="141">
        <v>754</v>
      </c>
      <c r="E2287" s="141" t="str">
        <f t="shared" si="198"/>
        <v>001</v>
      </c>
      <c r="F2287" s="141" t="s">
        <v>4326</v>
      </c>
      <c r="G2287" s="141" t="str">
        <f t="shared" si="203"/>
        <v>MCC</v>
      </c>
      <c r="H2287" s="141" t="s">
        <v>2636</v>
      </c>
      <c r="I2287" s="141" t="str">
        <f t="shared" si="199"/>
        <v>999</v>
      </c>
      <c r="J2287" s="141" t="s">
        <v>4327</v>
      </c>
      <c r="K2287" s="141">
        <v>2548</v>
      </c>
      <c r="L2287" s="141">
        <v>1</v>
      </c>
      <c r="M2287" s="141">
        <v>0</v>
      </c>
      <c r="N2287" s="141">
        <v>10000</v>
      </c>
      <c r="O2287" s="141" t="s">
        <v>4357</v>
      </c>
      <c r="P2287" s="141" t="s">
        <v>4820</v>
      </c>
    </row>
    <row r="2288" spans="1:16" ht="25.5">
      <c r="A2288" s="141">
        <v>76807</v>
      </c>
      <c r="B2288" s="141" t="s">
        <v>4325</v>
      </c>
      <c r="C2288" s="142">
        <v>41201</v>
      </c>
      <c r="D2288" s="141">
        <v>754</v>
      </c>
      <c r="E2288" s="141" t="str">
        <f t="shared" si="198"/>
        <v>001</v>
      </c>
      <c r="F2288" s="141" t="s">
        <v>4326</v>
      </c>
      <c r="G2288" s="141" t="str">
        <f t="shared" si="203"/>
        <v>MCC</v>
      </c>
      <c r="H2288" s="141" t="s">
        <v>2636</v>
      </c>
      <c r="I2288" s="141" t="str">
        <f t="shared" si="199"/>
        <v>999</v>
      </c>
      <c r="J2288" s="141" t="s">
        <v>4327</v>
      </c>
      <c r="K2288" s="141">
        <v>2549</v>
      </c>
      <c r="L2288" s="141">
        <v>4</v>
      </c>
      <c r="M2288" s="141">
        <v>0</v>
      </c>
      <c r="N2288" s="141">
        <v>32000</v>
      </c>
      <c r="O2288" s="141" t="s">
        <v>4357</v>
      </c>
      <c r="P2288" s="141" t="s">
        <v>4547</v>
      </c>
    </row>
    <row r="2289" spans="1:16" ht="25.5">
      <c r="A2289" s="141">
        <v>76807</v>
      </c>
      <c r="B2289" s="141" t="s">
        <v>4325</v>
      </c>
      <c r="C2289" s="142">
        <v>41201</v>
      </c>
      <c r="D2289" s="141">
        <v>754</v>
      </c>
      <c r="E2289" s="141" t="str">
        <f t="shared" si="198"/>
        <v>001</v>
      </c>
      <c r="F2289" s="141" t="s">
        <v>4326</v>
      </c>
      <c r="G2289" s="141" t="str">
        <f t="shared" si="203"/>
        <v>MCC</v>
      </c>
      <c r="H2289" s="141" t="s">
        <v>2636</v>
      </c>
      <c r="I2289" s="141" t="str">
        <f t="shared" si="199"/>
        <v>999</v>
      </c>
      <c r="J2289" s="141" t="s">
        <v>4327</v>
      </c>
      <c r="K2289" s="141">
        <v>2550</v>
      </c>
      <c r="L2289" s="141">
        <v>3</v>
      </c>
      <c r="M2289" s="141">
        <v>0</v>
      </c>
      <c r="N2289" s="141">
        <v>22000</v>
      </c>
      <c r="O2289" s="141" t="s">
        <v>4357</v>
      </c>
      <c r="P2289" s="141" t="s">
        <v>4548</v>
      </c>
    </row>
    <row r="2290" spans="1:16" ht="25.5">
      <c r="A2290" s="141">
        <v>76807</v>
      </c>
      <c r="B2290" s="141" t="s">
        <v>4325</v>
      </c>
      <c r="C2290" s="142">
        <v>41201</v>
      </c>
      <c r="D2290" s="141">
        <v>754</v>
      </c>
      <c r="E2290" s="141" t="str">
        <f t="shared" si="198"/>
        <v>001</v>
      </c>
      <c r="F2290" s="141" t="s">
        <v>4326</v>
      </c>
      <c r="G2290" s="141" t="str">
        <f t="shared" si="203"/>
        <v>MCC</v>
      </c>
      <c r="H2290" s="141" t="s">
        <v>2636</v>
      </c>
      <c r="I2290" s="141" t="str">
        <f t="shared" si="199"/>
        <v>999</v>
      </c>
      <c r="J2290" s="141" t="s">
        <v>4327</v>
      </c>
      <c r="K2290" s="141">
        <v>2551</v>
      </c>
      <c r="L2290" s="141">
        <v>1</v>
      </c>
      <c r="M2290" s="141">
        <v>0</v>
      </c>
      <c r="N2290" s="141">
        <v>11000</v>
      </c>
      <c r="O2290" s="141" t="s">
        <v>4357</v>
      </c>
      <c r="P2290" s="141" t="s">
        <v>4626</v>
      </c>
    </row>
    <row r="2291" spans="1:16" ht="25.5">
      <c r="A2291" s="141">
        <v>76807</v>
      </c>
      <c r="B2291" s="141" t="s">
        <v>4325</v>
      </c>
      <c r="C2291" s="142">
        <v>41201</v>
      </c>
      <c r="D2291" s="141">
        <v>754</v>
      </c>
      <c r="E2291" s="141" t="str">
        <f t="shared" si="198"/>
        <v>001</v>
      </c>
      <c r="F2291" s="141" t="s">
        <v>4326</v>
      </c>
      <c r="G2291" s="141" t="str">
        <f t="shared" si="203"/>
        <v>MCC</v>
      </c>
      <c r="H2291" s="141" t="s">
        <v>2636</v>
      </c>
      <c r="I2291" s="141" t="str">
        <f t="shared" si="199"/>
        <v>999</v>
      </c>
      <c r="J2291" s="141" t="s">
        <v>4327</v>
      </c>
      <c r="K2291" s="141">
        <v>2552</v>
      </c>
      <c r="L2291" s="141">
        <v>1</v>
      </c>
      <c r="M2291" s="141">
        <v>0</v>
      </c>
      <c r="N2291" s="141">
        <v>4000</v>
      </c>
      <c r="O2291" s="141" t="s">
        <v>4330</v>
      </c>
      <c r="P2291" s="141" t="s">
        <v>4348</v>
      </c>
    </row>
    <row r="2292" spans="1:16" ht="25.5">
      <c r="A2292" s="141">
        <v>76807</v>
      </c>
      <c r="B2292" s="141" t="s">
        <v>4325</v>
      </c>
      <c r="C2292" s="142">
        <v>41201</v>
      </c>
      <c r="D2292" s="141">
        <v>754</v>
      </c>
      <c r="E2292" s="141" t="str">
        <f t="shared" si="198"/>
        <v>001</v>
      </c>
      <c r="F2292" s="141" t="s">
        <v>4326</v>
      </c>
      <c r="G2292" s="141" t="str">
        <f t="shared" si="203"/>
        <v>MCC</v>
      </c>
      <c r="H2292" s="141" t="s">
        <v>2636</v>
      </c>
      <c r="I2292" s="141" t="str">
        <f t="shared" si="199"/>
        <v>999</v>
      </c>
      <c r="J2292" s="141" t="s">
        <v>4327</v>
      </c>
      <c r="K2292" s="141">
        <v>2553</v>
      </c>
      <c r="L2292" s="141">
        <v>1</v>
      </c>
      <c r="M2292" s="141">
        <v>0</v>
      </c>
      <c r="N2292" s="141">
        <v>1000</v>
      </c>
      <c r="O2292" s="141" t="s">
        <v>4926</v>
      </c>
      <c r="P2292" s="141"/>
    </row>
    <row r="2293" spans="1:16" ht="25.5">
      <c r="A2293" s="141">
        <v>76807</v>
      </c>
      <c r="B2293" s="141" t="s">
        <v>4325</v>
      </c>
      <c r="C2293" s="142">
        <v>41201</v>
      </c>
      <c r="D2293" s="141">
        <v>754</v>
      </c>
      <c r="E2293" s="141" t="str">
        <f t="shared" si="198"/>
        <v>001</v>
      </c>
      <c r="F2293" s="141" t="s">
        <v>4326</v>
      </c>
      <c r="G2293" s="141" t="str">
        <f t="shared" si="203"/>
        <v>MCC</v>
      </c>
      <c r="H2293" s="141" t="s">
        <v>2636</v>
      </c>
      <c r="I2293" s="141" t="str">
        <f t="shared" si="199"/>
        <v>999</v>
      </c>
      <c r="J2293" s="141" t="s">
        <v>4327</v>
      </c>
      <c r="K2293" s="141">
        <v>2554</v>
      </c>
      <c r="L2293" s="141">
        <v>3</v>
      </c>
      <c r="M2293" s="141">
        <v>0</v>
      </c>
      <c r="N2293" s="141">
        <v>5000</v>
      </c>
      <c r="O2293" s="141" t="s">
        <v>4592</v>
      </c>
      <c r="P2293" s="141"/>
    </row>
    <row r="2294" spans="1:16" ht="25.5">
      <c r="A2294" s="141">
        <v>76807</v>
      </c>
      <c r="B2294" s="141" t="s">
        <v>4325</v>
      </c>
      <c r="C2294" s="142">
        <v>41201</v>
      </c>
      <c r="D2294" s="141">
        <v>754</v>
      </c>
      <c r="E2294" s="141" t="str">
        <f t="shared" si="198"/>
        <v>001</v>
      </c>
      <c r="F2294" s="141" t="s">
        <v>4326</v>
      </c>
      <c r="G2294" s="141" t="str">
        <f t="shared" si="203"/>
        <v>MCC</v>
      </c>
      <c r="H2294" s="141" t="s">
        <v>2636</v>
      </c>
      <c r="I2294" s="141" t="str">
        <f t="shared" si="199"/>
        <v>999</v>
      </c>
      <c r="J2294" s="141" t="s">
        <v>4327</v>
      </c>
      <c r="K2294" s="141">
        <v>2555</v>
      </c>
      <c r="L2294" s="141">
        <v>1</v>
      </c>
      <c r="M2294" s="141">
        <v>0</v>
      </c>
      <c r="N2294" s="141">
        <v>21000</v>
      </c>
      <c r="O2294" s="141" t="s">
        <v>4927</v>
      </c>
      <c r="P2294" s="141"/>
    </row>
    <row r="2295" spans="1:16" ht="25.5">
      <c r="A2295" s="141">
        <v>76807</v>
      </c>
      <c r="B2295" s="141" t="s">
        <v>4325</v>
      </c>
      <c r="C2295" s="142">
        <v>41201</v>
      </c>
      <c r="D2295" s="141">
        <v>754</v>
      </c>
      <c r="E2295" s="141" t="str">
        <f t="shared" si="198"/>
        <v>001</v>
      </c>
      <c r="F2295" s="141" t="s">
        <v>4326</v>
      </c>
      <c r="G2295" s="141" t="str">
        <f t="shared" si="203"/>
        <v>MCC</v>
      </c>
      <c r="H2295" s="141" t="s">
        <v>2636</v>
      </c>
      <c r="I2295" s="141" t="str">
        <f t="shared" si="199"/>
        <v>999</v>
      </c>
      <c r="J2295" s="141" t="s">
        <v>4327</v>
      </c>
      <c r="K2295" s="141">
        <v>2556</v>
      </c>
      <c r="L2295" s="141">
        <v>1</v>
      </c>
      <c r="M2295" s="141">
        <v>0</v>
      </c>
      <c r="N2295" s="141">
        <v>26000</v>
      </c>
      <c r="O2295" s="141" t="s">
        <v>4353</v>
      </c>
      <c r="P2295" s="141" t="s">
        <v>4823</v>
      </c>
    </row>
    <row r="2296" spans="1:16" ht="25.5">
      <c r="A2296" s="141">
        <v>76807</v>
      </c>
      <c r="B2296" s="141" t="s">
        <v>4325</v>
      </c>
      <c r="C2296" s="142">
        <v>41201</v>
      </c>
      <c r="D2296" s="141">
        <v>754</v>
      </c>
      <c r="E2296" s="141" t="str">
        <f t="shared" si="198"/>
        <v>001</v>
      </c>
      <c r="F2296" s="141" t="s">
        <v>4326</v>
      </c>
      <c r="G2296" s="141" t="str">
        <f t="shared" si="203"/>
        <v>MCC</v>
      </c>
      <c r="H2296" s="141" t="s">
        <v>2636</v>
      </c>
      <c r="I2296" s="141" t="str">
        <f t="shared" si="199"/>
        <v>999</v>
      </c>
      <c r="J2296" s="141" t="s">
        <v>4327</v>
      </c>
      <c r="K2296" s="141">
        <v>2557</v>
      </c>
      <c r="L2296" s="141">
        <v>1</v>
      </c>
      <c r="M2296" s="141">
        <v>0</v>
      </c>
      <c r="N2296" s="141">
        <v>3000</v>
      </c>
      <c r="O2296" s="141" t="s">
        <v>4364</v>
      </c>
      <c r="P2296" s="141" t="s">
        <v>4365</v>
      </c>
    </row>
    <row r="2297" spans="1:16" ht="25.5">
      <c r="A2297" s="141">
        <v>76807</v>
      </c>
      <c r="B2297" s="141" t="s">
        <v>4325</v>
      </c>
      <c r="C2297" s="142">
        <v>41201</v>
      </c>
      <c r="D2297" s="141">
        <v>754</v>
      </c>
      <c r="E2297" s="141" t="str">
        <f t="shared" si="198"/>
        <v>001</v>
      </c>
      <c r="F2297" s="141" t="s">
        <v>4326</v>
      </c>
      <c r="G2297" s="141" t="str">
        <f t="shared" si="203"/>
        <v>MCC</v>
      </c>
      <c r="H2297" s="141" t="s">
        <v>2636</v>
      </c>
      <c r="I2297" s="141" t="str">
        <f t="shared" si="199"/>
        <v>999</v>
      </c>
      <c r="J2297" s="141" t="s">
        <v>4327</v>
      </c>
      <c r="K2297" s="141">
        <v>2558</v>
      </c>
      <c r="L2297" s="141">
        <v>1</v>
      </c>
      <c r="M2297" s="141">
        <v>0</v>
      </c>
      <c r="N2297" s="141">
        <v>106000</v>
      </c>
      <c r="O2297" s="141" t="s">
        <v>4368</v>
      </c>
      <c r="P2297" s="141"/>
    </row>
    <row r="2298" spans="1:16" ht="25.5">
      <c r="A2298" s="141">
        <v>76807</v>
      </c>
      <c r="B2298" s="141" t="s">
        <v>4325</v>
      </c>
      <c r="C2298" s="142">
        <v>41201</v>
      </c>
      <c r="D2298" s="141">
        <v>754</v>
      </c>
      <c r="E2298" s="141" t="str">
        <f t="shared" si="198"/>
        <v>001</v>
      </c>
      <c r="F2298" s="141" t="s">
        <v>4326</v>
      </c>
      <c r="G2298" s="141" t="str">
        <f t="shared" si="203"/>
        <v>MCC</v>
      </c>
      <c r="H2298" s="141" t="s">
        <v>2636</v>
      </c>
      <c r="I2298" s="141" t="str">
        <f t="shared" si="199"/>
        <v>999</v>
      </c>
      <c r="J2298" s="141" t="s">
        <v>4327</v>
      </c>
      <c r="K2298" s="141">
        <v>2559</v>
      </c>
      <c r="L2298" s="141">
        <v>1</v>
      </c>
      <c r="M2298" s="141">
        <v>0</v>
      </c>
      <c r="N2298" s="141">
        <v>7000</v>
      </c>
      <c r="O2298" s="141" t="s">
        <v>4369</v>
      </c>
      <c r="P2298" s="141" t="s">
        <v>4928</v>
      </c>
    </row>
    <row r="2299" spans="1:16" ht="25.5">
      <c r="A2299" s="141">
        <v>76807</v>
      </c>
      <c r="B2299" s="141" t="s">
        <v>4325</v>
      </c>
      <c r="C2299" s="142">
        <v>41201</v>
      </c>
      <c r="D2299" s="141">
        <v>754</v>
      </c>
      <c r="E2299" s="141" t="str">
        <f t="shared" si="198"/>
        <v>001</v>
      </c>
      <c r="F2299" s="141" t="s">
        <v>4326</v>
      </c>
      <c r="G2299" s="141" t="str">
        <f t="shared" si="203"/>
        <v>MCC</v>
      </c>
      <c r="H2299" s="141" t="s">
        <v>2636</v>
      </c>
      <c r="I2299" s="141" t="str">
        <f t="shared" si="199"/>
        <v>999</v>
      </c>
      <c r="J2299" s="141" t="s">
        <v>4327</v>
      </c>
      <c r="K2299" s="141">
        <v>2560</v>
      </c>
      <c r="L2299" s="141">
        <v>10</v>
      </c>
      <c r="M2299" s="141">
        <v>0</v>
      </c>
      <c r="N2299" s="141">
        <v>6000</v>
      </c>
      <c r="O2299" s="141" t="s">
        <v>4381</v>
      </c>
      <c r="P2299" s="141"/>
    </row>
    <row r="2300" spans="1:16" ht="25.5">
      <c r="A2300" s="141">
        <v>76807</v>
      </c>
      <c r="B2300" s="141" t="s">
        <v>4325</v>
      </c>
      <c r="C2300" s="142">
        <v>41201</v>
      </c>
      <c r="D2300" s="141">
        <v>754</v>
      </c>
      <c r="E2300" s="141" t="str">
        <f t="shared" si="198"/>
        <v>001</v>
      </c>
      <c r="F2300" s="141" t="s">
        <v>4326</v>
      </c>
      <c r="G2300" s="141" t="str">
        <f t="shared" si="203"/>
        <v>MCC</v>
      </c>
      <c r="H2300" s="141" t="s">
        <v>2636</v>
      </c>
      <c r="I2300" s="141" t="str">
        <f t="shared" si="199"/>
        <v>999</v>
      </c>
      <c r="J2300" s="141" t="s">
        <v>4327</v>
      </c>
      <c r="K2300" s="141">
        <v>2561</v>
      </c>
      <c r="L2300" s="141">
        <v>1</v>
      </c>
      <c r="M2300" s="141">
        <v>0</v>
      </c>
      <c r="N2300" s="141">
        <v>1000</v>
      </c>
      <c r="O2300" s="141" t="s">
        <v>4536</v>
      </c>
      <c r="P2300" s="141"/>
    </row>
    <row r="2301" spans="1:16" ht="25.5">
      <c r="A2301" s="141">
        <v>76807</v>
      </c>
      <c r="B2301" s="141" t="s">
        <v>4325</v>
      </c>
      <c r="C2301" s="142">
        <v>41201</v>
      </c>
      <c r="D2301" s="141">
        <v>754</v>
      </c>
      <c r="E2301" s="141" t="str">
        <f t="shared" si="198"/>
        <v>001</v>
      </c>
      <c r="F2301" s="141" t="s">
        <v>4326</v>
      </c>
      <c r="G2301" s="141" t="str">
        <f t="shared" si="203"/>
        <v>MCC</v>
      </c>
      <c r="H2301" s="141" t="s">
        <v>2636</v>
      </c>
      <c r="I2301" s="141" t="str">
        <f t="shared" si="199"/>
        <v>999</v>
      </c>
      <c r="J2301" s="141" t="s">
        <v>4327</v>
      </c>
      <c r="K2301" s="141">
        <v>2562</v>
      </c>
      <c r="L2301" s="141">
        <v>12</v>
      </c>
      <c r="M2301" s="141">
        <v>0</v>
      </c>
      <c r="N2301" s="141">
        <v>7000</v>
      </c>
      <c r="O2301" s="141" t="s">
        <v>4350</v>
      </c>
      <c r="P2301" s="141"/>
    </row>
    <row r="2302" spans="1:16" ht="25.5">
      <c r="A2302" s="141">
        <v>76807</v>
      </c>
      <c r="B2302" s="141" t="s">
        <v>4325</v>
      </c>
      <c r="C2302" s="142">
        <v>41201</v>
      </c>
      <c r="D2302" s="141">
        <v>754</v>
      </c>
      <c r="E2302" s="141" t="str">
        <f t="shared" si="198"/>
        <v>001</v>
      </c>
      <c r="F2302" s="141" t="s">
        <v>4326</v>
      </c>
      <c r="G2302" s="141" t="str">
        <f t="shared" si="203"/>
        <v>MCC</v>
      </c>
      <c r="H2302" s="141" t="s">
        <v>2636</v>
      </c>
      <c r="I2302" s="141" t="str">
        <f t="shared" si="199"/>
        <v>999</v>
      </c>
      <c r="J2302" s="141" t="s">
        <v>4327</v>
      </c>
      <c r="K2302" s="141">
        <v>2563</v>
      </c>
      <c r="L2302" s="141">
        <v>25</v>
      </c>
      <c r="M2302" s="141">
        <v>0</v>
      </c>
      <c r="N2302" s="141">
        <v>18000</v>
      </c>
      <c r="O2302" s="141" t="s">
        <v>4343</v>
      </c>
      <c r="P2302" s="141"/>
    </row>
    <row r="2303" spans="1:16" ht="25.5">
      <c r="A2303" s="141">
        <v>76807</v>
      </c>
      <c r="B2303" s="141" t="s">
        <v>4325</v>
      </c>
      <c r="C2303" s="142">
        <v>41201</v>
      </c>
      <c r="D2303" s="141">
        <v>754</v>
      </c>
      <c r="E2303" s="141" t="str">
        <f t="shared" si="198"/>
        <v>001</v>
      </c>
      <c r="F2303" s="141" t="s">
        <v>4326</v>
      </c>
      <c r="G2303" s="141" t="str">
        <f t="shared" si="203"/>
        <v>MCC</v>
      </c>
      <c r="H2303" s="141" t="s">
        <v>2636</v>
      </c>
      <c r="I2303" s="141" t="str">
        <f t="shared" si="199"/>
        <v>999</v>
      </c>
      <c r="J2303" s="141" t="s">
        <v>4327</v>
      </c>
      <c r="K2303" s="141">
        <v>2564</v>
      </c>
      <c r="L2303" s="141">
        <v>1</v>
      </c>
      <c r="M2303" s="141">
        <v>0</v>
      </c>
      <c r="N2303" s="141">
        <v>2000</v>
      </c>
      <c r="O2303" s="141" t="s">
        <v>4345</v>
      </c>
      <c r="P2303" s="141"/>
    </row>
    <row r="2304" spans="1:16" ht="25.5">
      <c r="A2304" s="141">
        <v>76807</v>
      </c>
      <c r="B2304" s="141" t="s">
        <v>4325</v>
      </c>
      <c r="C2304" s="142">
        <v>41201</v>
      </c>
      <c r="D2304" s="141">
        <v>754</v>
      </c>
      <c r="E2304" s="141" t="str">
        <f t="shared" si="198"/>
        <v>001</v>
      </c>
      <c r="F2304" s="141" t="s">
        <v>4326</v>
      </c>
      <c r="G2304" s="141" t="str">
        <f t="shared" si="203"/>
        <v>MCC</v>
      </c>
      <c r="H2304" s="141" t="s">
        <v>2636</v>
      </c>
      <c r="I2304" s="141" t="str">
        <f t="shared" si="199"/>
        <v>999</v>
      </c>
      <c r="J2304" s="141" t="s">
        <v>4327</v>
      </c>
      <c r="K2304" s="141">
        <v>2565</v>
      </c>
      <c r="L2304" s="141">
        <v>2</v>
      </c>
      <c r="M2304" s="141">
        <v>0</v>
      </c>
      <c r="N2304" s="141">
        <v>5000</v>
      </c>
      <c r="O2304" s="141" t="s">
        <v>4347</v>
      </c>
      <c r="P2304" s="141"/>
    </row>
    <row r="2305" spans="1:16" ht="25.5">
      <c r="A2305" s="141">
        <v>76807</v>
      </c>
      <c r="B2305" s="141" t="s">
        <v>4325</v>
      </c>
      <c r="C2305" s="142">
        <v>41201</v>
      </c>
      <c r="D2305" s="141">
        <v>754</v>
      </c>
      <c r="E2305" s="141" t="str">
        <f t="shared" si="198"/>
        <v>001</v>
      </c>
      <c r="F2305" s="141" t="s">
        <v>4326</v>
      </c>
      <c r="G2305" s="141" t="str">
        <f t="shared" si="203"/>
        <v>MCC</v>
      </c>
      <c r="H2305" s="141" t="s">
        <v>2636</v>
      </c>
      <c r="I2305" s="141" t="str">
        <f t="shared" si="199"/>
        <v>999</v>
      </c>
      <c r="J2305" s="141" t="s">
        <v>4327</v>
      </c>
      <c r="K2305" s="141">
        <v>2566</v>
      </c>
      <c r="L2305" s="141">
        <v>4</v>
      </c>
      <c r="M2305" s="141">
        <v>0</v>
      </c>
      <c r="N2305" s="141">
        <v>26000</v>
      </c>
      <c r="O2305" s="141" t="s">
        <v>4407</v>
      </c>
      <c r="P2305" s="141"/>
    </row>
    <row r="2306" spans="1:16" ht="25.5">
      <c r="A2306" s="141">
        <v>76807</v>
      </c>
      <c r="B2306" s="141" t="s">
        <v>4325</v>
      </c>
      <c r="C2306" s="142">
        <v>41201</v>
      </c>
      <c r="D2306" s="141">
        <v>754</v>
      </c>
      <c r="E2306" s="141" t="str">
        <f t="shared" ref="E2306:E2338" si="204">"001"</f>
        <v>001</v>
      </c>
      <c r="F2306" s="141" t="s">
        <v>4326</v>
      </c>
      <c r="G2306" s="141" t="str">
        <f t="shared" si="203"/>
        <v>MCC</v>
      </c>
      <c r="H2306" s="141" t="s">
        <v>2636</v>
      </c>
      <c r="I2306" s="141" t="str">
        <f t="shared" ref="I2306:I2338" si="205">"999"</f>
        <v>999</v>
      </c>
      <c r="J2306" s="141" t="s">
        <v>4327</v>
      </c>
      <c r="K2306" s="141">
        <v>2567</v>
      </c>
      <c r="L2306" s="141">
        <v>1</v>
      </c>
      <c r="M2306" s="141">
        <v>0</v>
      </c>
      <c r="N2306" s="141">
        <v>1000</v>
      </c>
      <c r="O2306" s="141" t="s">
        <v>4738</v>
      </c>
      <c r="P2306" s="141"/>
    </row>
    <row r="2307" spans="1:16" ht="25.5">
      <c r="A2307" s="141">
        <v>76807</v>
      </c>
      <c r="B2307" s="141" t="s">
        <v>4325</v>
      </c>
      <c r="C2307" s="142">
        <v>41201</v>
      </c>
      <c r="D2307" s="141">
        <v>754</v>
      </c>
      <c r="E2307" s="141" t="str">
        <f t="shared" si="204"/>
        <v>001</v>
      </c>
      <c r="F2307" s="141" t="s">
        <v>4326</v>
      </c>
      <c r="G2307" s="141" t="str">
        <f t="shared" si="203"/>
        <v>MCC</v>
      </c>
      <c r="H2307" s="141" t="s">
        <v>2636</v>
      </c>
      <c r="I2307" s="141" t="str">
        <f t="shared" si="205"/>
        <v>999</v>
      </c>
      <c r="J2307" s="141" t="s">
        <v>4327</v>
      </c>
      <c r="K2307" s="141">
        <v>2568</v>
      </c>
      <c r="L2307" s="141">
        <v>1</v>
      </c>
      <c r="M2307" s="141">
        <v>0</v>
      </c>
      <c r="N2307" s="141">
        <v>2000</v>
      </c>
      <c r="O2307" s="141" t="s">
        <v>4685</v>
      </c>
      <c r="P2307" s="141"/>
    </row>
    <row r="2308" spans="1:16" ht="25.5">
      <c r="A2308" s="141">
        <v>76807</v>
      </c>
      <c r="B2308" s="141" t="s">
        <v>4325</v>
      </c>
      <c r="C2308" s="142">
        <v>41201</v>
      </c>
      <c r="D2308" s="141">
        <v>754</v>
      </c>
      <c r="E2308" s="141" t="str">
        <f t="shared" si="204"/>
        <v>001</v>
      </c>
      <c r="F2308" s="141" t="s">
        <v>4326</v>
      </c>
      <c r="G2308" s="141" t="str">
        <f t="shared" si="203"/>
        <v>MCC</v>
      </c>
      <c r="H2308" s="141" t="s">
        <v>2636</v>
      </c>
      <c r="I2308" s="141" t="str">
        <f t="shared" si="205"/>
        <v>999</v>
      </c>
      <c r="J2308" s="141" t="s">
        <v>4327</v>
      </c>
      <c r="K2308" s="141">
        <v>2569</v>
      </c>
      <c r="L2308" s="141">
        <v>1</v>
      </c>
      <c r="M2308" s="141">
        <v>0</v>
      </c>
      <c r="N2308" s="141">
        <v>1000</v>
      </c>
      <c r="O2308" s="141" t="s">
        <v>4929</v>
      </c>
      <c r="P2308" s="141"/>
    </row>
    <row r="2309" spans="1:16" ht="25.5">
      <c r="A2309" s="141">
        <v>76807</v>
      </c>
      <c r="B2309" s="141" t="s">
        <v>4325</v>
      </c>
      <c r="C2309" s="142">
        <v>41201</v>
      </c>
      <c r="D2309" s="141">
        <v>754</v>
      </c>
      <c r="E2309" s="141" t="str">
        <f t="shared" si="204"/>
        <v>001</v>
      </c>
      <c r="F2309" s="141" t="s">
        <v>4326</v>
      </c>
      <c r="G2309" s="141" t="str">
        <f t="shared" si="203"/>
        <v>MCC</v>
      </c>
      <c r="H2309" s="141" t="s">
        <v>2636</v>
      </c>
      <c r="I2309" s="141" t="str">
        <f t="shared" si="205"/>
        <v>999</v>
      </c>
      <c r="J2309" s="141" t="s">
        <v>4327</v>
      </c>
      <c r="K2309" s="141">
        <v>2570</v>
      </c>
      <c r="L2309" s="141">
        <v>1</v>
      </c>
      <c r="M2309" s="141">
        <v>0</v>
      </c>
      <c r="N2309" s="141">
        <v>3000</v>
      </c>
      <c r="O2309" s="141" t="s">
        <v>4405</v>
      </c>
      <c r="P2309" s="141" t="s">
        <v>4372</v>
      </c>
    </row>
    <row r="2310" spans="1:16" ht="25.5">
      <c r="A2310" s="141">
        <v>76807</v>
      </c>
      <c r="B2310" s="141" t="s">
        <v>4325</v>
      </c>
      <c r="C2310" s="142">
        <v>41201</v>
      </c>
      <c r="D2310" s="141">
        <v>754</v>
      </c>
      <c r="E2310" s="141" t="str">
        <f t="shared" si="204"/>
        <v>001</v>
      </c>
      <c r="F2310" s="141" t="s">
        <v>4326</v>
      </c>
      <c r="G2310" s="141" t="str">
        <f t="shared" si="203"/>
        <v>MCC</v>
      </c>
      <c r="H2310" s="141" t="s">
        <v>2636</v>
      </c>
      <c r="I2310" s="141" t="str">
        <f t="shared" si="205"/>
        <v>999</v>
      </c>
      <c r="J2310" s="141" t="s">
        <v>4327</v>
      </c>
      <c r="K2310" s="141">
        <v>2571</v>
      </c>
      <c r="L2310" s="141">
        <v>1</v>
      </c>
      <c r="M2310" s="141">
        <v>0</v>
      </c>
      <c r="N2310" s="141">
        <v>3000</v>
      </c>
      <c r="O2310" s="141" t="s">
        <v>4405</v>
      </c>
      <c r="P2310" s="141" t="s">
        <v>4372</v>
      </c>
    </row>
    <row r="2311" spans="1:16" ht="25.5">
      <c r="A2311" s="141">
        <v>76807</v>
      </c>
      <c r="B2311" s="141" t="s">
        <v>4325</v>
      </c>
      <c r="C2311" s="142">
        <v>41201</v>
      </c>
      <c r="D2311" s="141">
        <v>754</v>
      </c>
      <c r="E2311" s="141" t="str">
        <f t="shared" si="204"/>
        <v>001</v>
      </c>
      <c r="F2311" s="141" t="s">
        <v>4326</v>
      </c>
      <c r="G2311" s="141" t="str">
        <f t="shared" si="203"/>
        <v>MCC</v>
      </c>
      <c r="H2311" s="141" t="s">
        <v>2636</v>
      </c>
      <c r="I2311" s="141" t="str">
        <f t="shared" si="205"/>
        <v>999</v>
      </c>
      <c r="J2311" s="141" t="s">
        <v>4327</v>
      </c>
      <c r="K2311" s="141">
        <v>2572</v>
      </c>
      <c r="L2311" s="141">
        <v>1</v>
      </c>
      <c r="M2311" s="141">
        <v>0</v>
      </c>
      <c r="N2311" s="141">
        <v>3000</v>
      </c>
      <c r="O2311" s="141" t="s">
        <v>4405</v>
      </c>
      <c r="P2311" s="141" t="s">
        <v>4372</v>
      </c>
    </row>
    <row r="2312" spans="1:16" ht="25.5">
      <c r="A2312" s="141">
        <v>76807</v>
      </c>
      <c r="B2312" s="141" t="s">
        <v>4325</v>
      </c>
      <c r="C2312" s="142">
        <v>41201</v>
      </c>
      <c r="D2312" s="141">
        <v>754</v>
      </c>
      <c r="E2312" s="141" t="str">
        <f t="shared" si="204"/>
        <v>001</v>
      </c>
      <c r="F2312" s="141" t="s">
        <v>4326</v>
      </c>
      <c r="G2312" s="141" t="str">
        <f t="shared" si="203"/>
        <v>MCC</v>
      </c>
      <c r="H2312" s="141" t="s">
        <v>2636</v>
      </c>
      <c r="I2312" s="141" t="str">
        <f t="shared" si="205"/>
        <v>999</v>
      </c>
      <c r="J2312" s="141" t="s">
        <v>4327</v>
      </c>
      <c r="K2312" s="141">
        <v>2573</v>
      </c>
      <c r="L2312" s="141">
        <v>1</v>
      </c>
      <c r="M2312" s="141">
        <v>0</v>
      </c>
      <c r="N2312" s="141">
        <v>3000</v>
      </c>
      <c r="O2312" s="141" t="s">
        <v>4405</v>
      </c>
      <c r="P2312" s="141" t="s">
        <v>4372</v>
      </c>
    </row>
    <row r="2313" spans="1:16" ht="25.5">
      <c r="A2313" s="141">
        <v>76807</v>
      </c>
      <c r="B2313" s="141" t="s">
        <v>4325</v>
      </c>
      <c r="C2313" s="142">
        <v>41201</v>
      </c>
      <c r="D2313" s="141">
        <v>754</v>
      </c>
      <c r="E2313" s="141" t="str">
        <f t="shared" si="204"/>
        <v>001</v>
      </c>
      <c r="F2313" s="141" t="s">
        <v>4326</v>
      </c>
      <c r="G2313" s="141" t="str">
        <f t="shared" si="203"/>
        <v>MCC</v>
      </c>
      <c r="H2313" s="141" t="s">
        <v>2636</v>
      </c>
      <c r="I2313" s="141" t="str">
        <f t="shared" si="205"/>
        <v>999</v>
      </c>
      <c r="J2313" s="141" t="s">
        <v>4327</v>
      </c>
      <c r="K2313" s="141">
        <v>2574</v>
      </c>
      <c r="L2313" s="141">
        <v>1</v>
      </c>
      <c r="M2313" s="141">
        <v>0</v>
      </c>
      <c r="N2313" s="141">
        <v>3000</v>
      </c>
      <c r="O2313" s="141" t="s">
        <v>4405</v>
      </c>
      <c r="P2313" s="141" t="s">
        <v>4372</v>
      </c>
    </row>
    <row r="2314" spans="1:16" ht="25.5">
      <c r="A2314" s="141">
        <v>76807</v>
      </c>
      <c r="B2314" s="141" t="s">
        <v>4325</v>
      </c>
      <c r="C2314" s="142">
        <v>41201</v>
      </c>
      <c r="D2314" s="141">
        <v>754</v>
      </c>
      <c r="E2314" s="141" t="str">
        <f t="shared" si="204"/>
        <v>001</v>
      </c>
      <c r="F2314" s="141" t="s">
        <v>4326</v>
      </c>
      <c r="G2314" s="141" t="str">
        <f t="shared" si="203"/>
        <v>MCC</v>
      </c>
      <c r="H2314" s="141" t="s">
        <v>2636</v>
      </c>
      <c r="I2314" s="141" t="str">
        <f t="shared" si="205"/>
        <v>999</v>
      </c>
      <c r="J2314" s="141" t="s">
        <v>4327</v>
      </c>
      <c r="K2314" s="141">
        <v>2575</v>
      </c>
      <c r="L2314" s="141">
        <v>1</v>
      </c>
      <c r="M2314" s="141">
        <v>0</v>
      </c>
      <c r="N2314" s="141">
        <v>3000</v>
      </c>
      <c r="O2314" s="141" t="s">
        <v>4405</v>
      </c>
      <c r="P2314" s="141" t="s">
        <v>4372</v>
      </c>
    </row>
    <row r="2315" spans="1:16" ht="25.5">
      <c r="A2315" s="141">
        <v>76807</v>
      </c>
      <c r="B2315" s="141" t="s">
        <v>4325</v>
      </c>
      <c r="C2315" s="142">
        <v>41201</v>
      </c>
      <c r="D2315" s="141">
        <v>754</v>
      </c>
      <c r="E2315" s="141" t="str">
        <f t="shared" si="204"/>
        <v>001</v>
      </c>
      <c r="F2315" s="141" t="s">
        <v>4326</v>
      </c>
      <c r="G2315" s="141" t="str">
        <f t="shared" si="203"/>
        <v>MCC</v>
      </c>
      <c r="H2315" s="141" t="s">
        <v>2636</v>
      </c>
      <c r="I2315" s="141" t="str">
        <f t="shared" si="205"/>
        <v>999</v>
      </c>
      <c r="J2315" s="141" t="s">
        <v>4327</v>
      </c>
      <c r="K2315" s="141">
        <v>2576</v>
      </c>
      <c r="L2315" s="141">
        <v>1</v>
      </c>
      <c r="M2315" s="141">
        <v>0</v>
      </c>
      <c r="N2315" s="141">
        <v>3000</v>
      </c>
      <c r="O2315" s="141" t="s">
        <v>4405</v>
      </c>
      <c r="P2315" s="141" t="s">
        <v>4372</v>
      </c>
    </row>
    <row r="2316" spans="1:16" ht="25.5">
      <c r="A2316" s="141">
        <v>76807</v>
      </c>
      <c r="B2316" s="141" t="s">
        <v>4325</v>
      </c>
      <c r="C2316" s="142">
        <v>41201</v>
      </c>
      <c r="D2316" s="141">
        <v>754</v>
      </c>
      <c r="E2316" s="141" t="str">
        <f t="shared" si="204"/>
        <v>001</v>
      </c>
      <c r="F2316" s="141" t="s">
        <v>4326</v>
      </c>
      <c r="G2316" s="141" t="str">
        <f t="shared" si="203"/>
        <v>MCC</v>
      </c>
      <c r="H2316" s="141" t="s">
        <v>2636</v>
      </c>
      <c r="I2316" s="141" t="str">
        <f t="shared" si="205"/>
        <v>999</v>
      </c>
      <c r="J2316" s="141" t="s">
        <v>4327</v>
      </c>
      <c r="K2316" s="141">
        <v>2577</v>
      </c>
      <c r="L2316" s="141">
        <v>1</v>
      </c>
      <c r="M2316" s="141">
        <v>0</v>
      </c>
      <c r="N2316" s="141">
        <v>3000</v>
      </c>
      <c r="O2316" s="141" t="s">
        <v>4405</v>
      </c>
      <c r="P2316" s="141" t="s">
        <v>4372</v>
      </c>
    </row>
    <row r="2317" spans="1:16" ht="25.5">
      <c r="A2317" s="141">
        <v>76807</v>
      </c>
      <c r="B2317" s="141" t="s">
        <v>4325</v>
      </c>
      <c r="C2317" s="142">
        <v>41201</v>
      </c>
      <c r="D2317" s="141">
        <v>754</v>
      </c>
      <c r="E2317" s="141" t="str">
        <f t="shared" si="204"/>
        <v>001</v>
      </c>
      <c r="F2317" s="141" t="s">
        <v>4326</v>
      </c>
      <c r="G2317" s="141" t="str">
        <f t="shared" si="203"/>
        <v>MCC</v>
      </c>
      <c r="H2317" s="141" t="s">
        <v>2636</v>
      </c>
      <c r="I2317" s="141" t="str">
        <f t="shared" si="205"/>
        <v>999</v>
      </c>
      <c r="J2317" s="141" t="s">
        <v>4327</v>
      </c>
      <c r="K2317" s="141">
        <v>2578</v>
      </c>
      <c r="L2317" s="141">
        <v>1</v>
      </c>
      <c r="M2317" s="141">
        <v>0</v>
      </c>
      <c r="N2317" s="141">
        <v>3000</v>
      </c>
      <c r="O2317" s="141" t="s">
        <v>4405</v>
      </c>
      <c r="P2317" s="141" t="s">
        <v>4372</v>
      </c>
    </row>
    <row r="2318" spans="1:16" ht="25.5">
      <c r="A2318" s="141">
        <v>76807</v>
      </c>
      <c r="B2318" s="141" t="s">
        <v>4325</v>
      </c>
      <c r="C2318" s="142">
        <v>41201</v>
      </c>
      <c r="D2318" s="141">
        <v>754</v>
      </c>
      <c r="E2318" s="141" t="str">
        <f t="shared" si="204"/>
        <v>001</v>
      </c>
      <c r="F2318" s="141" t="s">
        <v>4326</v>
      </c>
      <c r="G2318" s="141" t="str">
        <f t="shared" si="203"/>
        <v>MCC</v>
      </c>
      <c r="H2318" s="141" t="s">
        <v>2636</v>
      </c>
      <c r="I2318" s="141" t="str">
        <f t="shared" si="205"/>
        <v>999</v>
      </c>
      <c r="J2318" s="141" t="s">
        <v>4327</v>
      </c>
      <c r="K2318" s="141">
        <v>2579</v>
      </c>
      <c r="L2318" s="141">
        <v>1</v>
      </c>
      <c r="M2318" s="141">
        <v>0</v>
      </c>
      <c r="N2318" s="141">
        <v>3000</v>
      </c>
      <c r="O2318" s="141" t="s">
        <v>4405</v>
      </c>
      <c r="P2318" s="141" t="s">
        <v>4372</v>
      </c>
    </row>
    <row r="2319" spans="1:16" ht="25.5">
      <c r="A2319" s="141">
        <v>76807</v>
      </c>
      <c r="B2319" s="141" t="s">
        <v>4325</v>
      </c>
      <c r="C2319" s="142">
        <v>41201</v>
      </c>
      <c r="D2319" s="141">
        <v>754</v>
      </c>
      <c r="E2319" s="141" t="str">
        <f t="shared" si="204"/>
        <v>001</v>
      </c>
      <c r="F2319" s="141" t="s">
        <v>4326</v>
      </c>
      <c r="G2319" s="141" t="str">
        <f t="shared" si="203"/>
        <v>MCC</v>
      </c>
      <c r="H2319" s="141" t="s">
        <v>2636</v>
      </c>
      <c r="I2319" s="141" t="str">
        <f t="shared" si="205"/>
        <v>999</v>
      </c>
      <c r="J2319" s="141" t="s">
        <v>4327</v>
      </c>
      <c r="K2319" s="141">
        <v>2580</v>
      </c>
      <c r="L2319" s="141">
        <v>1</v>
      </c>
      <c r="M2319" s="141">
        <v>0</v>
      </c>
      <c r="N2319" s="141">
        <v>3000</v>
      </c>
      <c r="O2319" s="141" t="s">
        <v>4405</v>
      </c>
      <c r="P2319" s="141" t="s">
        <v>4372</v>
      </c>
    </row>
    <row r="2320" spans="1:16" ht="25.5">
      <c r="A2320" s="141">
        <v>76807</v>
      </c>
      <c r="B2320" s="141" t="s">
        <v>4325</v>
      </c>
      <c r="C2320" s="142">
        <v>41201</v>
      </c>
      <c r="D2320" s="141">
        <v>754</v>
      </c>
      <c r="E2320" s="141" t="str">
        <f t="shared" si="204"/>
        <v>001</v>
      </c>
      <c r="F2320" s="141" t="s">
        <v>4326</v>
      </c>
      <c r="G2320" s="141" t="str">
        <f t="shared" si="203"/>
        <v>MCC</v>
      </c>
      <c r="H2320" s="141" t="s">
        <v>2636</v>
      </c>
      <c r="I2320" s="141" t="str">
        <f t="shared" si="205"/>
        <v>999</v>
      </c>
      <c r="J2320" s="141" t="s">
        <v>4327</v>
      </c>
      <c r="K2320" s="141">
        <v>2581</v>
      </c>
      <c r="L2320" s="141">
        <v>1</v>
      </c>
      <c r="M2320" s="141">
        <v>0</v>
      </c>
      <c r="N2320" s="141">
        <v>3000</v>
      </c>
      <c r="O2320" s="141" t="s">
        <v>4405</v>
      </c>
      <c r="P2320" s="141" t="s">
        <v>4372</v>
      </c>
    </row>
    <row r="2321" spans="1:16" ht="25.5">
      <c r="A2321" s="141">
        <v>76807</v>
      </c>
      <c r="B2321" s="141" t="s">
        <v>4325</v>
      </c>
      <c r="C2321" s="142">
        <v>41201</v>
      </c>
      <c r="D2321" s="141">
        <v>754</v>
      </c>
      <c r="E2321" s="141" t="str">
        <f t="shared" si="204"/>
        <v>001</v>
      </c>
      <c r="F2321" s="141" t="s">
        <v>4326</v>
      </c>
      <c r="G2321" s="141" t="str">
        <f t="shared" si="203"/>
        <v>MCC</v>
      </c>
      <c r="H2321" s="141" t="s">
        <v>2636</v>
      </c>
      <c r="I2321" s="141" t="str">
        <f t="shared" si="205"/>
        <v>999</v>
      </c>
      <c r="J2321" s="141" t="s">
        <v>4327</v>
      </c>
      <c r="K2321" s="141">
        <v>2582</v>
      </c>
      <c r="L2321" s="141">
        <v>1</v>
      </c>
      <c r="M2321" s="141">
        <v>0</v>
      </c>
      <c r="N2321" s="141">
        <v>3000</v>
      </c>
      <c r="O2321" s="141" t="s">
        <v>4405</v>
      </c>
      <c r="P2321" s="141" t="s">
        <v>4372</v>
      </c>
    </row>
    <row r="2322" spans="1:16" ht="25.5">
      <c r="A2322" s="141">
        <v>76807</v>
      </c>
      <c r="B2322" s="141" t="s">
        <v>4325</v>
      </c>
      <c r="C2322" s="142">
        <v>41201</v>
      </c>
      <c r="D2322" s="141">
        <v>754</v>
      </c>
      <c r="E2322" s="141" t="str">
        <f t="shared" si="204"/>
        <v>001</v>
      </c>
      <c r="F2322" s="141" t="s">
        <v>4326</v>
      </c>
      <c r="G2322" s="141" t="str">
        <f t="shared" si="203"/>
        <v>MCC</v>
      </c>
      <c r="H2322" s="141" t="s">
        <v>2636</v>
      </c>
      <c r="I2322" s="141" t="str">
        <f t="shared" si="205"/>
        <v>999</v>
      </c>
      <c r="J2322" s="141" t="s">
        <v>4327</v>
      </c>
      <c r="K2322" s="141">
        <v>2583</v>
      </c>
      <c r="L2322" s="141">
        <v>1</v>
      </c>
      <c r="M2322" s="141">
        <v>0</v>
      </c>
      <c r="N2322" s="141">
        <v>3000</v>
      </c>
      <c r="O2322" s="141" t="s">
        <v>4405</v>
      </c>
      <c r="P2322" s="141" t="s">
        <v>4372</v>
      </c>
    </row>
    <row r="2323" spans="1:16" ht="25.5">
      <c r="A2323" s="141">
        <v>76807</v>
      </c>
      <c r="B2323" s="141" t="s">
        <v>4325</v>
      </c>
      <c r="C2323" s="142">
        <v>41201</v>
      </c>
      <c r="D2323" s="141">
        <v>754</v>
      </c>
      <c r="E2323" s="141" t="str">
        <f t="shared" si="204"/>
        <v>001</v>
      </c>
      <c r="F2323" s="141" t="s">
        <v>4326</v>
      </c>
      <c r="G2323" s="141" t="str">
        <f t="shared" si="203"/>
        <v>MCC</v>
      </c>
      <c r="H2323" s="141" t="s">
        <v>2636</v>
      </c>
      <c r="I2323" s="141" t="str">
        <f t="shared" si="205"/>
        <v>999</v>
      </c>
      <c r="J2323" s="141" t="s">
        <v>4327</v>
      </c>
      <c r="K2323" s="141">
        <v>2584</v>
      </c>
      <c r="L2323" s="141">
        <v>1</v>
      </c>
      <c r="M2323" s="141">
        <v>0</v>
      </c>
      <c r="N2323" s="141">
        <v>3000</v>
      </c>
      <c r="O2323" s="141" t="s">
        <v>4405</v>
      </c>
      <c r="P2323" s="141" t="s">
        <v>4372</v>
      </c>
    </row>
    <row r="2324" spans="1:16" ht="25.5">
      <c r="A2324" s="141">
        <v>76807</v>
      </c>
      <c r="B2324" s="141" t="s">
        <v>4325</v>
      </c>
      <c r="C2324" s="142">
        <v>41201</v>
      </c>
      <c r="D2324" s="141">
        <v>754</v>
      </c>
      <c r="E2324" s="141" t="str">
        <f t="shared" si="204"/>
        <v>001</v>
      </c>
      <c r="F2324" s="141" t="s">
        <v>4326</v>
      </c>
      <c r="G2324" s="141" t="str">
        <f t="shared" si="203"/>
        <v>MCC</v>
      </c>
      <c r="H2324" s="141" t="s">
        <v>2636</v>
      </c>
      <c r="I2324" s="141" t="str">
        <f t="shared" si="205"/>
        <v>999</v>
      </c>
      <c r="J2324" s="141" t="s">
        <v>4327</v>
      </c>
      <c r="K2324" s="141">
        <v>2585</v>
      </c>
      <c r="L2324" s="141">
        <v>1</v>
      </c>
      <c r="M2324" s="141">
        <v>0</v>
      </c>
      <c r="N2324" s="141">
        <v>3000</v>
      </c>
      <c r="O2324" s="141" t="s">
        <v>4405</v>
      </c>
      <c r="P2324" s="141" t="s">
        <v>4372</v>
      </c>
    </row>
    <row r="2325" spans="1:16" ht="25.5">
      <c r="A2325" s="141">
        <v>76807</v>
      </c>
      <c r="B2325" s="141" t="s">
        <v>4325</v>
      </c>
      <c r="C2325" s="142">
        <v>41201</v>
      </c>
      <c r="D2325" s="141">
        <v>417</v>
      </c>
      <c r="E2325" s="141" t="str">
        <f t="shared" si="204"/>
        <v>001</v>
      </c>
      <c r="F2325" s="141" t="s">
        <v>4326</v>
      </c>
      <c r="G2325" s="141" t="str">
        <f>"MWYC"</f>
        <v>MWYC</v>
      </c>
      <c r="H2325" s="141" t="s">
        <v>2835</v>
      </c>
      <c r="I2325" s="141" t="str">
        <f t="shared" si="205"/>
        <v>999</v>
      </c>
      <c r="J2325" s="141" t="s">
        <v>4327</v>
      </c>
      <c r="K2325" s="141">
        <v>1155</v>
      </c>
      <c r="L2325" s="141">
        <v>1</v>
      </c>
      <c r="M2325" s="141">
        <v>0</v>
      </c>
      <c r="N2325" s="141">
        <v>504000</v>
      </c>
      <c r="O2325" s="141" t="s">
        <v>4366</v>
      </c>
      <c r="P2325" s="141" t="s">
        <v>4930</v>
      </c>
    </row>
    <row r="2326" spans="1:16" ht="25.5">
      <c r="A2326" s="141">
        <v>76807</v>
      </c>
      <c r="B2326" s="141" t="s">
        <v>4325</v>
      </c>
      <c r="C2326" s="142">
        <v>41201</v>
      </c>
      <c r="D2326" s="141">
        <v>417</v>
      </c>
      <c r="E2326" s="141" t="str">
        <f t="shared" si="204"/>
        <v>001</v>
      </c>
      <c r="F2326" s="141" t="s">
        <v>4326</v>
      </c>
      <c r="G2326" s="141" t="str">
        <f>"MWYC"</f>
        <v>MWYC</v>
      </c>
      <c r="H2326" s="141" t="s">
        <v>2835</v>
      </c>
      <c r="I2326" s="141" t="str">
        <f t="shared" si="205"/>
        <v>999</v>
      </c>
      <c r="J2326" s="141" t="s">
        <v>4327</v>
      </c>
      <c r="K2326" s="141">
        <v>1156</v>
      </c>
      <c r="L2326" s="141">
        <v>16</v>
      </c>
      <c r="M2326" s="141">
        <v>0</v>
      </c>
      <c r="N2326" s="141">
        <v>151000</v>
      </c>
      <c r="O2326" s="141" t="s">
        <v>4334</v>
      </c>
      <c r="P2326" s="141" t="s">
        <v>4414</v>
      </c>
    </row>
    <row r="2327" spans="1:16" ht="25.5">
      <c r="A2327" s="141">
        <v>76807</v>
      </c>
      <c r="B2327" s="141" t="s">
        <v>4325</v>
      </c>
      <c r="C2327" s="142">
        <v>41201</v>
      </c>
      <c r="D2327" s="141">
        <v>417</v>
      </c>
      <c r="E2327" s="141" t="str">
        <f t="shared" si="204"/>
        <v>001</v>
      </c>
      <c r="F2327" s="141" t="s">
        <v>4326</v>
      </c>
      <c r="G2327" s="141" t="str">
        <f>"MWYC"</f>
        <v>MWYC</v>
      </c>
      <c r="H2327" s="141" t="s">
        <v>2835</v>
      </c>
      <c r="I2327" s="141" t="str">
        <f t="shared" si="205"/>
        <v>999</v>
      </c>
      <c r="J2327" s="141" t="s">
        <v>4327</v>
      </c>
      <c r="K2327" s="141">
        <v>1157</v>
      </c>
      <c r="L2327" s="141">
        <v>2</v>
      </c>
      <c r="M2327" s="141">
        <v>0</v>
      </c>
      <c r="N2327" s="141">
        <v>10000</v>
      </c>
      <c r="O2327" s="141" t="s">
        <v>4357</v>
      </c>
      <c r="P2327" s="141" t="s">
        <v>4335</v>
      </c>
    </row>
    <row r="2328" spans="1:16" ht="25.5">
      <c r="A2328" s="141">
        <v>76807</v>
      </c>
      <c r="B2328" s="141" t="s">
        <v>4325</v>
      </c>
      <c r="C2328" s="142">
        <v>41201</v>
      </c>
      <c r="D2328" s="141">
        <v>727</v>
      </c>
      <c r="E2328" s="141" t="str">
        <f t="shared" si="204"/>
        <v>001</v>
      </c>
      <c r="F2328" s="141" t="s">
        <v>4326</v>
      </c>
      <c r="G2328" s="141" t="str">
        <f t="shared" ref="G2328:G2334" si="206">"PFC"</f>
        <v>PFC</v>
      </c>
      <c r="H2328" s="141" t="s">
        <v>987</v>
      </c>
      <c r="I2328" s="141" t="str">
        <f t="shared" si="205"/>
        <v>999</v>
      </c>
      <c r="J2328" s="141" t="s">
        <v>4327</v>
      </c>
      <c r="K2328" s="141">
        <v>2238</v>
      </c>
      <c r="L2328" s="141">
        <v>1</v>
      </c>
      <c r="M2328" s="141">
        <v>0</v>
      </c>
      <c r="N2328" s="141">
        <v>20000</v>
      </c>
      <c r="O2328" s="141" t="s">
        <v>4328</v>
      </c>
      <c r="P2328" s="141" t="s">
        <v>4931</v>
      </c>
    </row>
    <row r="2329" spans="1:16" ht="25.5">
      <c r="A2329" s="141">
        <v>76807</v>
      </c>
      <c r="B2329" s="141" t="s">
        <v>4325</v>
      </c>
      <c r="C2329" s="142">
        <v>41201</v>
      </c>
      <c r="D2329" s="141">
        <v>727</v>
      </c>
      <c r="E2329" s="141" t="str">
        <f t="shared" si="204"/>
        <v>001</v>
      </c>
      <c r="F2329" s="141" t="s">
        <v>4326</v>
      </c>
      <c r="G2329" s="141" t="str">
        <f t="shared" si="206"/>
        <v>PFC</v>
      </c>
      <c r="H2329" s="141" t="s">
        <v>987</v>
      </c>
      <c r="I2329" s="141" t="str">
        <f t="shared" si="205"/>
        <v>999</v>
      </c>
      <c r="J2329" s="141" t="s">
        <v>4327</v>
      </c>
      <c r="K2329" s="141">
        <v>2239</v>
      </c>
      <c r="L2329" s="141">
        <v>3</v>
      </c>
      <c r="M2329" s="141">
        <v>0</v>
      </c>
      <c r="N2329" s="141">
        <v>10000</v>
      </c>
      <c r="O2329" s="141" t="s">
        <v>4357</v>
      </c>
      <c r="P2329" s="141" t="s">
        <v>4335</v>
      </c>
    </row>
    <row r="2330" spans="1:16" ht="25.5">
      <c r="A2330" s="141">
        <v>76807</v>
      </c>
      <c r="B2330" s="141" t="s">
        <v>4325</v>
      </c>
      <c r="C2330" s="142">
        <v>41201</v>
      </c>
      <c r="D2330" s="141">
        <v>727</v>
      </c>
      <c r="E2330" s="141" t="str">
        <f t="shared" si="204"/>
        <v>001</v>
      </c>
      <c r="F2330" s="141" t="s">
        <v>4326</v>
      </c>
      <c r="G2330" s="141" t="str">
        <f t="shared" si="206"/>
        <v>PFC</v>
      </c>
      <c r="H2330" s="141" t="s">
        <v>987</v>
      </c>
      <c r="I2330" s="141" t="str">
        <f t="shared" si="205"/>
        <v>999</v>
      </c>
      <c r="J2330" s="141" t="s">
        <v>4327</v>
      </c>
      <c r="K2330" s="141">
        <v>2240</v>
      </c>
      <c r="L2330" s="141">
        <v>2</v>
      </c>
      <c r="M2330" s="141">
        <v>0</v>
      </c>
      <c r="N2330" s="141">
        <v>5000</v>
      </c>
      <c r="O2330" s="141" t="s">
        <v>4357</v>
      </c>
      <c r="P2330" s="141" t="s">
        <v>4340</v>
      </c>
    </row>
    <row r="2331" spans="1:16" ht="25.5">
      <c r="A2331" s="141">
        <v>76807</v>
      </c>
      <c r="B2331" s="141" t="s">
        <v>4325</v>
      </c>
      <c r="C2331" s="142">
        <v>41201</v>
      </c>
      <c r="D2331" s="141">
        <v>727</v>
      </c>
      <c r="E2331" s="141" t="str">
        <f t="shared" si="204"/>
        <v>001</v>
      </c>
      <c r="F2331" s="141" t="s">
        <v>4326</v>
      </c>
      <c r="G2331" s="141" t="str">
        <f t="shared" si="206"/>
        <v>PFC</v>
      </c>
      <c r="H2331" s="141" t="s">
        <v>987</v>
      </c>
      <c r="I2331" s="141" t="str">
        <f t="shared" si="205"/>
        <v>999</v>
      </c>
      <c r="J2331" s="141" t="s">
        <v>4327</v>
      </c>
      <c r="K2331" s="141">
        <v>2241</v>
      </c>
      <c r="L2331" s="141">
        <v>1</v>
      </c>
      <c r="M2331" s="141">
        <v>0</v>
      </c>
      <c r="N2331" s="141">
        <v>20000</v>
      </c>
      <c r="O2331" s="141" t="s">
        <v>4566</v>
      </c>
      <c r="P2331" s="141"/>
    </row>
    <row r="2332" spans="1:16" ht="25.5">
      <c r="A2332" s="141">
        <v>76807</v>
      </c>
      <c r="B2332" s="141" t="s">
        <v>4325</v>
      </c>
      <c r="C2332" s="142">
        <v>41201</v>
      </c>
      <c r="D2332" s="141">
        <v>727</v>
      </c>
      <c r="E2332" s="141" t="str">
        <f t="shared" si="204"/>
        <v>001</v>
      </c>
      <c r="F2332" s="141" t="s">
        <v>4326</v>
      </c>
      <c r="G2332" s="141" t="str">
        <f t="shared" si="206"/>
        <v>PFC</v>
      </c>
      <c r="H2332" s="141" t="s">
        <v>987</v>
      </c>
      <c r="I2332" s="141" t="str">
        <f t="shared" si="205"/>
        <v>999</v>
      </c>
      <c r="J2332" s="141" t="s">
        <v>4327</v>
      </c>
      <c r="K2332" s="141">
        <v>2242</v>
      </c>
      <c r="L2332" s="141">
        <v>1</v>
      </c>
      <c r="M2332" s="141">
        <v>0</v>
      </c>
      <c r="N2332" s="141">
        <v>8000</v>
      </c>
      <c r="O2332" s="141" t="s">
        <v>4568</v>
      </c>
      <c r="P2332" s="141"/>
    </row>
    <row r="2333" spans="1:16" ht="25.5">
      <c r="A2333" s="141">
        <v>76807</v>
      </c>
      <c r="B2333" s="141" t="s">
        <v>4325</v>
      </c>
      <c r="C2333" s="142">
        <v>41201</v>
      </c>
      <c r="D2333" s="141">
        <v>727</v>
      </c>
      <c r="E2333" s="141" t="str">
        <f t="shared" si="204"/>
        <v>001</v>
      </c>
      <c r="F2333" s="141" t="s">
        <v>4326</v>
      </c>
      <c r="G2333" s="141" t="str">
        <f t="shared" si="206"/>
        <v>PFC</v>
      </c>
      <c r="H2333" s="141" t="s">
        <v>987</v>
      </c>
      <c r="I2333" s="141" t="str">
        <f t="shared" si="205"/>
        <v>999</v>
      </c>
      <c r="J2333" s="141" t="s">
        <v>4327</v>
      </c>
      <c r="K2333" s="141">
        <v>2243</v>
      </c>
      <c r="L2333" s="141">
        <v>1</v>
      </c>
      <c r="M2333" s="141">
        <v>0</v>
      </c>
      <c r="N2333" s="141">
        <v>19000</v>
      </c>
      <c r="O2333" s="141" t="s">
        <v>4569</v>
      </c>
      <c r="P2333" s="141"/>
    </row>
    <row r="2334" spans="1:16" ht="25.5">
      <c r="A2334" s="141">
        <v>76807</v>
      </c>
      <c r="B2334" s="141" t="s">
        <v>4325</v>
      </c>
      <c r="C2334" s="142">
        <v>41201</v>
      </c>
      <c r="D2334" s="141">
        <v>727</v>
      </c>
      <c r="E2334" s="141" t="str">
        <f t="shared" si="204"/>
        <v>001</v>
      </c>
      <c r="F2334" s="141" t="s">
        <v>4326</v>
      </c>
      <c r="G2334" s="141" t="str">
        <f t="shared" si="206"/>
        <v>PFC</v>
      </c>
      <c r="H2334" s="141" t="s">
        <v>987</v>
      </c>
      <c r="I2334" s="141" t="str">
        <f t="shared" si="205"/>
        <v>999</v>
      </c>
      <c r="J2334" s="141" t="s">
        <v>4327</v>
      </c>
      <c r="K2334" s="141">
        <v>2244</v>
      </c>
      <c r="L2334" s="141">
        <v>1</v>
      </c>
      <c r="M2334" s="141">
        <v>0</v>
      </c>
      <c r="N2334" s="141">
        <v>31000</v>
      </c>
      <c r="O2334" s="141" t="s">
        <v>4567</v>
      </c>
      <c r="P2334" s="141"/>
    </row>
    <row r="2335" spans="1:16" ht="25.5">
      <c r="A2335" s="141">
        <v>76807</v>
      </c>
      <c r="B2335" s="141" t="s">
        <v>4325</v>
      </c>
      <c r="C2335" s="142">
        <v>41201</v>
      </c>
      <c r="D2335" s="141">
        <v>398</v>
      </c>
      <c r="E2335" s="141" t="str">
        <f t="shared" si="204"/>
        <v>001</v>
      </c>
      <c r="F2335" s="141" t="s">
        <v>4326</v>
      </c>
      <c r="G2335" s="141" t="str">
        <f>"VPRR"</f>
        <v>VPRR</v>
      </c>
      <c r="H2335" s="141" t="s">
        <v>4932</v>
      </c>
      <c r="I2335" s="141" t="str">
        <f t="shared" si="205"/>
        <v>999</v>
      </c>
      <c r="J2335" s="141" t="s">
        <v>4327</v>
      </c>
      <c r="K2335" s="141">
        <v>1062</v>
      </c>
      <c r="L2335" s="141">
        <v>6</v>
      </c>
      <c r="M2335" s="141">
        <v>0</v>
      </c>
      <c r="N2335" s="141">
        <v>4000</v>
      </c>
      <c r="O2335" s="141" t="s">
        <v>4343</v>
      </c>
      <c r="P2335" s="141"/>
    </row>
    <row r="2336" spans="1:16" ht="25.5">
      <c r="A2336" s="141">
        <v>76807</v>
      </c>
      <c r="B2336" s="141" t="s">
        <v>4325</v>
      </c>
      <c r="C2336" s="142">
        <v>41201</v>
      </c>
      <c r="D2336" s="141">
        <v>398</v>
      </c>
      <c r="E2336" s="141" t="str">
        <f t="shared" si="204"/>
        <v>001</v>
      </c>
      <c r="F2336" s="141" t="s">
        <v>4326</v>
      </c>
      <c r="G2336" s="141" t="str">
        <f>"VPRR"</f>
        <v>VPRR</v>
      </c>
      <c r="H2336" s="141" t="s">
        <v>4932</v>
      </c>
      <c r="I2336" s="141" t="str">
        <f t="shared" si="205"/>
        <v>999</v>
      </c>
      <c r="J2336" s="141" t="s">
        <v>4327</v>
      </c>
      <c r="K2336" s="141">
        <v>1063</v>
      </c>
      <c r="L2336" s="141">
        <v>1</v>
      </c>
      <c r="M2336" s="141">
        <v>0</v>
      </c>
      <c r="N2336" s="141">
        <v>32000</v>
      </c>
      <c r="O2336" s="141" t="s">
        <v>4337</v>
      </c>
      <c r="P2336" s="141" t="s">
        <v>4480</v>
      </c>
    </row>
    <row r="2337" spans="1:16" ht="25.5">
      <c r="A2337" s="141">
        <v>76807</v>
      </c>
      <c r="B2337" s="141" t="s">
        <v>4325</v>
      </c>
      <c r="C2337" s="142">
        <v>41201</v>
      </c>
      <c r="D2337" s="141">
        <v>398</v>
      </c>
      <c r="E2337" s="141" t="str">
        <f t="shared" si="204"/>
        <v>001</v>
      </c>
      <c r="F2337" s="141" t="s">
        <v>4326</v>
      </c>
      <c r="G2337" s="141" t="str">
        <f>"VPRR"</f>
        <v>VPRR</v>
      </c>
      <c r="H2337" s="141" t="s">
        <v>4932</v>
      </c>
      <c r="I2337" s="141" t="str">
        <f t="shared" si="205"/>
        <v>999</v>
      </c>
      <c r="J2337" s="141" t="s">
        <v>4327</v>
      </c>
      <c r="K2337" s="141">
        <v>1064</v>
      </c>
      <c r="L2337" s="141">
        <v>1</v>
      </c>
      <c r="M2337" s="141">
        <v>0</v>
      </c>
      <c r="N2337" s="141">
        <v>1000</v>
      </c>
      <c r="O2337" s="141" t="s">
        <v>4381</v>
      </c>
      <c r="P2337" s="141"/>
    </row>
    <row r="2338" spans="1:16" ht="25.5">
      <c r="A2338" s="141">
        <v>76807</v>
      </c>
      <c r="B2338" s="141" t="s">
        <v>4325</v>
      </c>
      <c r="C2338" s="142">
        <v>41201</v>
      </c>
      <c r="D2338" s="141">
        <v>398</v>
      </c>
      <c r="E2338" s="141" t="str">
        <f t="shared" si="204"/>
        <v>001</v>
      </c>
      <c r="F2338" s="141" t="s">
        <v>4326</v>
      </c>
      <c r="G2338" s="141" t="str">
        <f>"VPRR"</f>
        <v>VPRR</v>
      </c>
      <c r="H2338" s="141" t="s">
        <v>4932</v>
      </c>
      <c r="I2338" s="141" t="str">
        <f t="shared" si="205"/>
        <v>999</v>
      </c>
      <c r="J2338" s="141" t="s">
        <v>4327</v>
      </c>
      <c r="K2338" s="141">
        <v>1065</v>
      </c>
      <c r="L2338" s="141">
        <v>10</v>
      </c>
      <c r="M2338" s="141">
        <v>0</v>
      </c>
      <c r="N2338" s="141">
        <v>6000</v>
      </c>
      <c r="O2338" s="141" t="s">
        <v>4350</v>
      </c>
      <c r="P2338" s="141"/>
    </row>
    <row r="2339" spans="1:16">
      <c r="N2339">
        <f>SUM(N2:N2338)</f>
        <v>58672000</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pane ySplit="1" topLeftCell="A20" activePane="bottomLeft" state="frozen"/>
      <selection pane="bottomLeft" activeCell="G40" sqref="G40"/>
    </sheetView>
  </sheetViews>
  <sheetFormatPr defaultColWidth="8.85546875" defaultRowHeight="15"/>
  <cols>
    <col min="1" max="1" width="8.7109375" style="163" bestFit="1" customWidth="1"/>
    <col min="2" max="2" width="8.28515625" style="163" bestFit="1" customWidth="1"/>
    <col min="3" max="3" width="3" style="163" bestFit="1" customWidth="1"/>
    <col min="4" max="4" width="14.42578125" style="163" bestFit="1" customWidth="1"/>
    <col min="5" max="5" width="4.140625" style="163" bestFit="1" customWidth="1"/>
    <col min="6" max="6" width="36" style="163" bestFit="1" customWidth="1"/>
    <col min="7" max="7" width="21.85546875" style="163" bestFit="1" customWidth="1"/>
    <col min="8" max="8" width="7.42578125" style="163" bestFit="1" customWidth="1"/>
    <col min="9" max="256" width="8.85546875" style="163"/>
    <col min="257" max="257" width="8.7109375" style="163" bestFit="1" customWidth="1"/>
    <col min="258" max="258" width="8.28515625" style="163" bestFit="1" customWidth="1"/>
    <col min="259" max="259" width="3" style="163" bestFit="1" customWidth="1"/>
    <col min="260" max="260" width="14.42578125" style="163" bestFit="1" customWidth="1"/>
    <col min="261" max="261" width="4.140625" style="163" bestFit="1" customWidth="1"/>
    <col min="262" max="262" width="36" style="163" bestFit="1" customWidth="1"/>
    <col min="263" max="263" width="21.85546875" style="163" bestFit="1" customWidth="1"/>
    <col min="264" max="264" width="6.42578125" style="163" bestFit="1" customWidth="1"/>
    <col min="265" max="512" width="8.85546875" style="163"/>
    <col min="513" max="513" width="8.7109375" style="163" bestFit="1" customWidth="1"/>
    <col min="514" max="514" width="8.28515625" style="163" bestFit="1" customWidth="1"/>
    <col min="515" max="515" width="3" style="163" bestFit="1" customWidth="1"/>
    <col min="516" max="516" width="14.42578125" style="163" bestFit="1" customWidth="1"/>
    <col min="517" max="517" width="4.140625" style="163" bestFit="1" customWidth="1"/>
    <col min="518" max="518" width="36" style="163" bestFit="1" customWidth="1"/>
    <col min="519" max="519" width="21.85546875" style="163" bestFit="1" customWidth="1"/>
    <col min="520" max="520" width="6.42578125" style="163" bestFit="1" customWidth="1"/>
    <col min="521" max="768" width="8.85546875" style="163"/>
    <col min="769" max="769" width="8.7109375" style="163" bestFit="1" customWidth="1"/>
    <col min="770" max="770" width="8.28515625" style="163" bestFit="1" customWidth="1"/>
    <col min="771" max="771" width="3" style="163" bestFit="1" customWidth="1"/>
    <col min="772" max="772" width="14.42578125" style="163" bestFit="1" customWidth="1"/>
    <col min="773" max="773" width="4.140625" style="163" bestFit="1" customWidth="1"/>
    <col min="774" max="774" width="36" style="163" bestFit="1" customWidth="1"/>
    <col min="775" max="775" width="21.85546875" style="163" bestFit="1" customWidth="1"/>
    <col min="776" max="776" width="6.42578125" style="163" bestFit="1" customWidth="1"/>
    <col min="777" max="1024" width="8.85546875" style="163"/>
    <col min="1025" max="1025" width="8.7109375" style="163" bestFit="1" customWidth="1"/>
    <col min="1026" max="1026" width="8.28515625" style="163" bestFit="1" customWidth="1"/>
    <col min="1027" max="1027" width="3" style="163" bestFit="1" customWidth="1"/>
    <col min="1028" max="1028" width="14.42578125" style="163" bestFit="1" customWidth="1"/>
    <col min="1029" max="1029" width="4.140625" style="163" bestFit="1" customWidth="1"/>
    <col min="1030" max="1030" width="36" style="163" bestFit="1" customWidth="1"/>
    <col min="1031" max="1031" width="21.85546875" style="163" bestFit="1" customWidth="1"/>
    <col min="1032" max="1032" width="6.42578125" style="163" bestFit="1" customWidth="1"/>
    <col min="1033" max="1280" width="8.85546875" style="163"/>
    <col min="1281" max="1281" width="8.7109375" style="163" bestFit="1" customWidth="1"/>
    <col min="1282" max="1282" width="8.28515625" style="163" bestFit="1" customWidth="1"/>
    <col min="1283" max="1283" width="3" style="163" bestFit="1" customWidth="1"/>
    <col min="1284" max="1284" width="14.42578125" style="163" bestFit="1" customWidth="1"/>
    <col min="1285" max="1285" width="4.140625" style="163" bestFit="1" customWidth="1"/>
    <col min="1286" max="1286" width="36" style="163" bestFit="1" customWidth="1"/>
    <col min="1287" max="1287" width="21.85546875" style="163" bestFit="1" customWidth="1"/>
    <col min="1288" max="1288" width="6.42578125" style="163" bestFit="1" customWidth="1"/>
    <col min="1289" max="1536" width="8.85546875" style="163"/>
    <col min="1537" max="1537" width="8.7109375" style="163" bestFit="1" customWidth="1"/>
    <col min="1538" max="1538" width="8.28515625" style="163" bestFit="1" customWidth="1"/>
    <col min="1539" max="1539" width="3" style="163" bestFit="1" customWidth="1"/>
    <col min="1540" max="1540" width="14.42578125" style="163" bestFit="1" customWidth="1"/>
    <col min="1541" max="1541" width="4.140625" style="163" bestFit="1" customWidth="1"/>
    <col min="1542" max="1542" width="36" style="163" bestFit="1" customWidth="1"/>
    <col min="1543" max="1543" width="21.85546875" style="163" bestFit="1" customWidth="1"/>
    <col min="1544" max="1544" width="6.42578125" style="163" bestFit="1" customWidth="1"/>
    <col min="1545" max="1792" width="8.85546875" style="163"/>
    <col min="1793" max="1793" width="8.7109375" style="163" bestFit="1" customWidth="1"/>
    <col min="1794" max="1794" width="8.28515625" style="163" bestFit="1" customWidth="1"/>
    <col min="1795" max="1795" width="3" style="163" bestFit="1" customWidth="1"/>
    <col min="1796" max="1796" width="14.42578125" style="163" bestFit="1" customWidth="1"/>
    <col min="1797" max="1797" width="4.140625" style="163" bestFit="1" customWidth="1"/>
    <col min="1798" max="1798" width="36" style="163" bestFit="1" customWidth="1"/>
    <col min="1799" max="1799" width="21.85546875" style="163" bestFit="1" customWidth="1"/>
    <col min="1800" max="1800" width="6.42578125" style="163" bestFit="1" customWidth="1"/>
    <col min="1801" max="2048" width="8.85546875" style="163"/>
    <col min="2049" max="2049" width="8.7109375" style="163" bestFit="1" customWidth="1"/>
    <col min="2050" max="2050" width="8.28515625" style="163" bestFit="1" customWidth="1"/>
    <col min="2051" max="2051" width="3" style="163" bestFit="1" customWidth="1"/>
    <col min="2052" max="2052" width="14.42578125" style="163" bestFit="1" customWidth="1"/>
    <col min="2053" max="2053" width="4.140625" style="163" bestFit="1" customWidth="1"/>
    <col min="2054" max="2054" width="36" style="163" bestFit="1" customWidth="1"/>
    <col min="2055" max="2055" width="21.85546875" style="163" bestFit="1" customWidth="1"/>
    <col min="2056" max="2056" width="6.42578125" style="163" bestFit="1" customWidth="1"/>
    <col min="2057" max="2304" width="8.85546875" style="163"/>
    <col min="2305" max="2305" width="8.7109375" style="163" bestFit="1" customWidth="1"/>
    <col min="2306" max="2306" width="8.28515625" style="163" bestFit="1" customWidth="1"/>
    <col min="2307" max="2307" width="3" style="163" bestFit="1" customWidth="1"/>
    <col min="2308" max="2308" width="14.42578125" style="163" bestFit="1" customWidth="1"/>
    <col min="2309" max="2309" width="4.140625" style="163" bestFit="1" customWidth="1"/>
    <col min="2310" max="2310" width="36" style="163" bestFit="1" customWidth="1"/>
    <col min="2311" max="2311" width="21.85546875" style="163" bestFit="1" customWidth="1"/>
    <col min="2312" max="2312" width="6.42578125" style="163" bestFit="1" customWidth="1"/>
    <col min="2313" max="2560" width="8.85546875" style="163"/>
    <col min="2561" max="2561" width="8.7109375" style="163" bestFit="1" customWidth="1"/>
    <col min="2562" max="2562" width="8.28515625" style="163" bestFit="1" customWidth="1"/>
    <col min="2563" max="2563" width="3" style="163" bestFit="1" customWidth="1"/>
    <col min="2564" max="2564" width="14.42578125" style="163" bestFit="1" customWidth="1"/>
    <col min="2565" max="2565" width="4.140625" style="163" bestFit="1" customWidth="1"/>
    <col min="2566" max="2566" width="36" style="163" bestFit="1" customWidth="1"/>
    <col min="2567" max="2567" width="21.85546875" style="163" bestFit="1" customWidth="1"/>
    <col min="2568" max="2568" width="6.42578125" style="163" bestFit="1" customWidth="1"/>
    <col min="2569" max="2816" width="8.85546875" style="163"/>
    <col min="2817" max="2817" width="8.7109375" style="163" bestFit="1" customWidth="1"/>
    <col min="2818" max="2818" width="8.28515625" style="163" bestFit="1" customWidth="1"/>
    <col min="2819" max="2819" width="3" style="163" bestFit="1" customWidth="1"/>
    <col min="2820" max="2820" width="14.42578125" style="163" bestFit="1" customWidth="1"/>
    <col min="2821" max="2821" width="4.140625" style="163" bestFit="1" customWidth="1"/>
    <col min="2822" max="2822" width="36" style="163" bestFit="1" customWidth="1"/>
    <col min="2823" max="2823" width="21.85546875" style="163" bestFit="1" customWidth="1"/>
    <col min="2824" max="2824" width="6.42578125" style="163" bestFit="1" customWidth="1"/>
    <col min="2825" max="3072" width="8.85546875" style="163"/>
    <col min="3073" max="3073" width="8.7109375" style="163" bestFit="1" customWidth="1"/>
    <col min="3074" max="3074" width="8.28515625" style="163" bestFit="1" customWidth="1"/>
    <col min="3075" max="3075" width="3" style="163" bestFit="1" customWidth="1"/>
    <col min="3076" max="3076" width="14.42578125" style="163" bestFit="1" customWidth="1"/>
    <col min="3077" max="3077" width="4.140625" style="163" bestFit="1" customWidth="1"/>
    <col min="3078" max="3078" width="36" style="163" bestFit="1" customWidth="1"/>
    <col min="3079" max="3079" width="21.85546875" style="163" bestFit="1" customWidth="1"/>
    <col min="3080" max="3080" width="6.42578125" style="163" bestFit="1" customWidth="1"/>
    <col min="3081" max="3328" width="8.85546875" style="163"/>
    <col min="3329" max="3329" width="8.7109375" style="163" bestFit="1" customWidth="1"/>
    <col min="3330" max="3330" width="8.28515625" style="163" bestFit="1" customWidth="1"/>
    <col min="3331" max="3331" width="3" style="163" bestFit="1" customWidth="1"/>
    <col min="3332" max="3332" width="14.42578125" style="163" bestFit="1" customWidth="1"/>
    <col min="3333" max="3333" width="4.140625" style="163" bestFit="1" customWidth="1"/>
    <col min="3334" max="3334" width="36" style="163" bestFit="1" customWidth="1"/>
    <col min="3335" max="3335" width="21.85546875" style="163" bestFit="1" customWidth="1"/>
    <col min="3336" max="3336" width="6.42578125" style="163" bestFit="1" customWidth="1"/>
    <col min="3337" max="3584" width="8.85546875" style="163"/>
    <col min="3585" max="3585" width="8.7109375" style="163" bestFit="1" customWidth="1"/>
    <col min="3586" max="3586" width="8.28515625" style="163" bestFit="1" customWidth="1"/>
    <col min="3587" max="3587" width="3" style="163" bestFit="1" customWidth="1"/>
    <col min="3588" max="3588" width="14.42578125" style="163" bestFit="1" customWidth="1"/>
    <col min="3589" max="3589" width="4.140625" style="163" bestFit="1" customWidth="1"/>
    <col min="3590" max="3590" width="36" style="163" bestFit="1" customWidth="1"/>
    <col min="3591" max="3591" width="21.85546875" style="163" bestFit="1" customWidth="1"/>
    <col min="3592" max="3592" width="6.42578125" style="163" bestFit="1" customWidth="1"/>
    <col min="3593" max="3840" width="8.85546875" style="163"/>
    <col min="3841" max="3841" width="8.7109375" style="163" bestFit="1" customWidth="1"/>
    <col min="3842" max="3842" width="8.28515625" style="163" bestFit="1" customWidth="1"/>
    <col min="3843" max="3843" width="3" style="163" bestFit="1" customWidth="1"/>
    <col min="3844" max="3844" width="14.42578125" style="163" bestFit="1" customWidth="1"/>
    <col min="3845" max="3845" width="4.140625" style="163" bestFit="1" customWidth="1"/>
    <col min="3846" max="3846" width="36" style="163" bestFit="1" customWidth="1"/>
    <col min="3847" max="3847" width="21.85546875" style="163" bestFit="1" customWidth="1"/>
    <col min="3848" max="3848" width="6.42578125" style="163" bestFit="1" customWidth="1"/>
    <col min="3849" max="4096" width="8.85546875" style="163"/>
    <col min="4097" max="4097" width="8.7109375" style="163" bestFit="1" customWidth="1"/>
    <col min="4098" max="4098" width="8.28515625" style="163" bestFit="1" customWidth="1"/>
    <col min="4099" max="4099" width="3" style="163" bestFit="1" customWidth="1"/>
    <col min="4100" max="4100" width="14.42578125" style="163" bestFit="1" customWidth="1"/>
    <col min="4101" max="4101" width="4.140625" style="163" bestFit="1" customWidth="1"/>
    <col min="4102" max="4102" width="36" style="163" bestFit="1" customWidth="1"/>
    <col min="4103" max="4103" width="21.85546875" style="163" bestFit="1" customWidth="1"/>
    <col min="4104" max="4104" width="6.42578125" style="163" bestFit="1" customWidth="1"/>
    <col min="4105" max="4352" width="8.85546875" style="163"/>
    <col min="4353" max="4353" width="8.7109375" style="163" bestFit="1" customWidth="1"/>
    <col min="4354" max="4354" width="8.28515625" style="163" bestFit="1" customWidth="1"/>
    <col min="4355" max="4355" width="3" style="163" bestFit="1" customWidth="1"/>
    <col min="4356" max="4356" width="14.42578125" style="163" bestFit="1" customWidth="1"/>
    <col min="4357" max="4357" width="4.140625" style="163" bestFit="1" customWidth="1"/>
    <col min="4358" max="4358" width="36" style="163" bestFit="1" customWidth="1"/>
    <col min="4359" max="4359" width="21.85546875" style="163" bestFit="1" customWidth="1"/>
    <col min="4360" max="4360" width="6.42578125" style="163" bestFit="1" customWidth="1"/>
    <col min="4361" max="4608" width="8.85546875" style="163"/>
    <col min="4609" max="4609" width="8.7109375" style="163" bestFit="1" customWidth="1"/>
    <col min="4610" max="4610" width="8.28515625" style="163" bestFit="1" customWidth="1"/>
    <col min="4611" max="4611" width="3" style="163" bestFit="1" customWidth="1"/>
    <col min="4612" max="4612" width="14.42578125" style="163" bestFit="1" customWidth="1"/>
    <col min="4613" max="4613" width="4.140625" style="163" bestFit="1" customWidth="1"/>
    <col min="4614" max="4614" width="36" style="163" bestFit="1" customWidth="1"/>
    <col min="4615" max="4615" width="21.85546875" style="163" bestFit="1" customWidth="1"/>
    <col min="4616" max="4616" width="6.42578125" style="163" bestFit="1" customWidth="1"/>
    <col min="4617" max="4864" width="8.85546875" style="163"/>
    <col min="4865" max="4865" width="8.7109375" style="163" bestFit="1" customWidth="1"/>
    <col min="4866" max="4866" width="8.28515625" style="163" bestFit="1" customWidth="1"/>
    <col min="4867" max="4867" width="3" style="163" bestFit="1" customWidth="1"/>
    <col min="4868" max="4868" width="14.42578125" style="163" bestFit="1" customWidth="1"/>
    <col min="4869" max="4869" width="4.140625" style="163" bestFit="1" customWidth="1"/>
    <col min="4870" max="4870" width="36" style="163" bestFit="1" customWidth="1"/>
    <col min="4871" max="4871" width="21.85546875" style="163" bestFit="1" customWidth="1"/>
    <col min="4872" max="4872" width="6.42578125" style="163" bestFit="1" customWidth="1"/>
    <col min="4873" max="5120" width="8.85546875" style="163"/>
    <col min="5121" max="5121" width="8.7109375" style="163" bestFit="1" customWidth="1"/>
    <col min="5122" max="5122" width="8.28515625" style="163" bestFit="1" customWidth="1"/>
    <col min="5123" max="5123" width="3" style="163" bestFit="1" customWidth="1"/>
    <col min="5124" max="5124" width="14.42578125" style="163" bestFit="1" customWidth="1"/>
    <col min="5125" max="5125" width="4.140625" style="163" bestFit="1" customWidth="1"/>
    <col min="5126" max="5126" width="36" style="163" bestFit="1" customWidth="1"/>
    <col min="5127" max="5127" width="21.85546875" style="163" bestFit="1" customWidth="1"/>
    <col min="5128" max="5128" width="6.42578125" style="163" bestFit="1" customWidth="1"/>
    <col min="5129" max="5376" width="8.85546875" style="163"/>
    <col min="5377" max="5377" width="8.7109375" style="163" bestFit="1" customWidth="1"/>
    <col min="5378" max="5378" width="8.28515625" style="163" bestFit="1" customWidth="1"/>
    <col min="5379" max="5379" width="3" style="163" bestFit="1" customWidth="1"/>
    <col min="5380" max="5380" width="14.42578125" style="163" bestFit="1" customWidth="1"/>
    <col min="5381" max="5381" width="4.140625" style="163" bestFit="1" customWidth="1"/>
    <col min="5382" max="5382" width="36" style="163" bestFit="1" customWidth="1"/>
    <col min="5383" max="5383" width="21.85546875" style="163" bestFit="1" customWidth="1"/>
    <col min="5384" max="5384" width="6.42578125" style="163" bestFit="1" customWidth="1"/>
    <col min="5385" max="5632" width="8.85546875" style="163"/>
    <col min="5633" max="5633" width="8.7109375" style="163" bestFit="1" customWidth="1"/>
    <col min="5634" max="5634" width="8.28515625" style="163" bestFit="1" customWidth="1"/>
    <col min="5635" max="5635" width="3" style="163" bestFit="1" customWidth="1"/>
    <col min="5636" max="5636" width="14.42578125" style="163" bestFit="1" customWidth="1"/>
    <col min="5637" max="5637" width="4.140625" style="163" bestFit="1" customWidth="1"/>
    <col min="5638" max="5638" width="36" style="163" bestFit="1" customWidth="1"/>
    <col min="5639" max="5639" width="21.85546875" style="163" bestFit="1" customWidth="1"/>
    <col min="5640" max="5640" width="6.42578125" style="163" bestFit="1" customWidth="1"/>
    <col min="5641" max="5888" width="8.85546875" style="163"/>
    <col min="5889" max="5889" width="8.7109375" style="163" bestFit="1" customWidth="1"/>
    <col min="5890" max="5890" width="8.28515625" style="163" bestFit="1" customWidth="1"/>
    <col min="5891" max="5891" width="3" style="163" bestFit="1" customWidth="1"/>
    <col min="5892" max="5892" width="14.42578125" style="163" bestFit="1" customWidth="1"/>
    <col min="5893" max="5893" width="4.140625" style="163" bestFit="1" customWidth="1"/>
    <col min="5894" max="5894" width="36" style="163" bestFit="1" customWidth="1"/>
    <col min="5895" max="5895" width="21.85546875" style="163" bestFit="1" customWidth="1"/>
    <col min="5896" max="5896" width="6.42578125" style="163" bestFit="1" customWidth="1"/>
    <col min="5897" max="6144" width="8.85546875" style="163"/>
    <col min="6145" max="6145" width="8.7109375" style="163" bestFit="1" customWidth="1"/>
    <col min="6146" max="6146" width="8.28515625" style="163" bestFit="1" customWidth="1"/>
    <col min="6147" max="6147" width="3" style="163" bestFit="1" customWidth="1"/>
    <col min="6148" max="6148" width="14.42578125" style="163" bestFit="1" customWidth="1"/>
    <col min="6149" max="6149" width="4.140625" style="163" bestFit="1" customWidth="1"/>
    <col min="6150" max="6150" width="36" style="163" bestFit="1" customWidth="1"/>
    <col min="6151" max="6151" width="21.85546875" style="163" bestFit="1" customWidth="1"/>
    <col min="6152" max="6152" width="6.42578125" style="163" bestFit="1" customWidth="1"/>
    <col min="6153" max="6400" width="8.85546875" style="163"/>
    <col min="6401" max="6401" width="8.7109375" style="163" bestFit="1" customWidth="1"/>
    <col min="6402" max="6402" width="8.28515625" style="163" bestFit="1" customWidth="1"/>
    <col min="6403" max="6403" width="3" style="163" bestFit="1" customWidth="1"/>
    <col min="6404" max="6404" width="14.42578125" style="163" bestFit="1" customWidth="1"/>
    <col min="6405" max="6405" width="4.140625" style="163" bestFit="1" customWidth="1"/>
    <col min="6406" max="6406" width="36" style="163" bestFit="1" customWidth="1"/>
    <col min="6407" max="6407" width="21.85546875" style="163" bestFit="1" customWidth="1"/>
    <col min="6408" max="6408" width="6.42578125" style="163" bestFit="1" customWidth="1"/>
    <col min="6409" max="6656" width="8.85546875" style="163"/>
    <col min="6657" max="6657" width="8.7109375" style="163" bestFit="1" customWidth="1"/>
    <col min="6658" max="6658" width="8.28515625" style="163" bestFit="1" customWidth="1"/>
    <col min="6659" max="6659" width="3" style="163" bestFit="1" customWidth="1"/>
    <col min="6660" max="6660" width="14.42578125" style="163" bestFit="1" customWidth="1"/>
    <col min="6661" max="6661" width="4.140625" style="163" bestFit="1" customWidth="1"/>
    <col min="6662" max="6662" width="36" style="163" bestFit="1" customWidth="1"/>
    <col min="6663" max="6663" width="21.85546875" style="163" bestFit="1" customWidth="1"/>
    <col min="6664" max="6664" width="6.42578125" style="163" bestFit="1" customWidth="1"/>
    <col min="6665" max="6912" width="8.85546875" style="163"/>
    <col min="6913" max="6913" width="8.7109375" style="163" bestFit="1" customWidth="1"/>
    <col min="6914" max="6914" width="8.28515625" style="163" bestFit="1" customWidth="1"/>
    <col min="6915" max="6915" width="3" style="163" bestFit="1" customWidth="1"/>
    <col min="6916" max="6916" width="14.42578125" style="163" bestFit="1" customWidth="1"/>
    <col min="6917" max="6917" width="4.140625" style="163" bestFit="1" customWidth="1"/>
    <col min="6918" max="6918" width="36" style="163" bestFit="1" customWidth="1"/>
    <col min="6919" max="6919" width="21.85546875" style="163" bestFit="1" customWidth="1"/>
    <col min="6920" max="6920" width="6.42578125" style="163" bestFit="1" customWidth="1"/>
    <col min="6921" max="7168" width="8.85546875" style="163"/>
    <col min="7169" max="7169" width="8.7109375" style="163" bestFit="1" customWidth="1"/>
    <col min="7170" max="7170" width="8.28515625" style="163" bestFit="1" customWidth="1"/>
    <col min="7171" max="7171" width="3" style="163" bestFit="1" customWidth="1"/>
    <col min="7172" max="7172" width="14.42578125" style="163" bestFit="1" customWidth="1"/>
    <col min="7173" max="7173" width="4.140625" style="163" bestFit="1" customWidth="1"/>
    <col min="7174" max="7174" width="36" style="163" bestFit="1" customWidth="1"/>
    <col min="7175" max="7175" width="21.85546875" style="163" bestFit="1" customWidth="1"/>
    <col min="7176" max="7176" width="6.42578125" style="163" bestFit="1" customWidth="1"/>
    <col min="7177" max="7424" width="8.85546875" style="163"/>
    <col min="7425" max="7425" width="8.7109375" style="163" bestFit="1" customWidth="1"/>
    <col min="7426" max="7426" width="8.28515625" style="163" bestFit="1" customWidth="1"/>
    <col min="7427" max="7427" width="3" style="163" bestFit="1" customWidth="1"/>
    <col min="7428" max="7428" width="14.42578125" style="163" bestFit="1" customWidth="1"/>
    <col min="7429" max="7429" width="4.140625" style="163" bestFit="1" customWidth="1"/>
    <col min="7430" max="7430" width="36" style="163" bestFit="1" customWidth="1"/>
    <col min="7431" max="7431" width="21.85546875" style="163" bestFit="1" customWidth="1"/>
    <col min="7432" max="7432" width="6.42578125" style="163" bestFit="1" customWidth="1"/>
    <col min="7433" max="7680" width="8.85546875" style="163"/>
    <col min="7681" max="7681" width="8.7109375" style="163" bestFit="1" customWidth="1"/>
    <col min="7682" max="7682" width="8.28515625" style="163" bestFit="1" customWidth="1"/>
    <col min="7683" max="7683" width="3" style="163" bestFit="1" customWidth="1"/>
    <col min="7684" max="7684" width="14.42578125" style="163" bestFit="1" customWidth="1"/>
    <col min="7685" max="7685" width="4.140625" style="163" bestFit="1" customWidth="1"/>
    <col min="7686" max="7686" width="36" style="163" bestFit="1" customWidth="1"/>
    <col min="7687" max="7687" width="21.85546875" style="163" bestFit="1" customWidth="1"/>
    <col min="7688" max="7688" width="6.42578125" style="163" bestFit="1" customWidth="1"/>
    <col min="7689" max="7936" width="8.85546875" style="163"/>
    <col min="7937" max="7937" width="8.7109375" style="163" bestFit="1" customWidth="1"/>
    <col min="7938" max="7938" width="8.28515625" style="163" bestFit="1" customWidth="1"/>
    <col min="7939" max="7939" width="3" style="163" bestFit="1" customWidth="1"/>
    <col min="7940" max="7940" width="14.42578125" style="163" bestFit="1" customWidth="1"/>
    <col min="7941" max="7941" width="4.140625" style="163" bestFit="1" customWidth="1"/>
    <col min="7942" max="7942" width="36" style="163" bestFit="1" customWidth="1"/>
    <col min="7943" max="7943" width="21.85546875" style="163" bestFit="1" customWidth="1"/>
    <col min="7944" max="7944" width="6.42578125" style="163" bestFit="1" customWidth="1"/>
    <col min="7945" max="8192" width="8.85546875" style="163"/>
    <col min="8193" max="8193" width="8.7109375" style="163" bestFit="1" customWidth="1"/>
    <col min="8194" max="8194" width="8.28515625" style="163" bestFit="1" customWidth="1"/>
    <col min="8195" max="8195" width="3" style="163" bestFit="1" customWidth="1"/>
    <col min="8196" max="8196" width="14.42578125" style="163" bestFit="1" customWidth="1"/>
    <col min="8197" max="8197" width="4.140625" style="163" bestFit="1" customWidth="1"/>
    <col min="8198" max="8198" width="36" style="163" bestFit="1" customWidth="1"/>
    <col min="8199" max="8199" width="21.85546875" style="163" bestFit="1" customWidth="1"/>
    <col min="8200" max="8200" width="6.42578125" style="163" bestFit="1" customWidth="1"/>
    <col min="8201" max="8448" width="8.85546875" style="163"/>
    <col min="8449" max="8449" width="8.7109375" style="163" bestFit="1" customWidth="1"/>
    <col min="8450" max="8450" width="8.28515625" style="163" bestFit="1" customWidth="1"/>
    <col min="8451" max="8451" width="3" style="163" bestFit="1" customWidth="1"/>
    <col min="8452" max="8452" width="14.42578125" style="163" bestFit="1" customWidth="1"/>
    <col min="8453" max="8453" width="4.140625" style="163" bestFit="1" customWidth="1"/>
    <col min="8454" max="8454" width="36" style="163" bestFit="1" customWidth="1"/>
    <col min="8455" max="8455" width="21.85546875" style="163" bestFit="1" customWidth="1"/>
    <col min="8456" max="8456" width="6.42578125" style="163" bestFit="1" customWidth="1"/>
    <col min="8457" max="8704" width="8.85546875" style="163"/>
    <col min="8705" max="8705" width="8.7109375" style="163" bestFit="1" customWidth="1"/>
    <col min="8706" max="8706" width="8.28515625" style="163" bestFit="1" customWidth="1"/>
    <col min="8707" max="8707" width="3" style="163" bestFit="1" customWidth="1"/>
    <col min="8708" max="8708" width="14.42578125" style="163" bestFit="1" customWidth="1"/>
    <col min="8709" max="8709" width="4.140625" style="163" bestFit="1" customWidth="1"/>
    <col min="8710" max="8710" width="36" style="163" bestFit="1" customWidth="1"/>
    <col min="8711" max="8711" width="21.85546875" style="163" bestFit="1" customWidth="1"/>
    <col min="8712" max="8712" width="6.42578125" style="163" bestFit="1" customWidth="1"/>
    <col min="8713" max="8960" width="8.85546875" style="163"/>
    <col min="8961" max="8961" width="8.7109375" style="163" bestFit="1" customWidth="1"/>
    <col min="8962" max="8962" width="8.28515625" style="163" bestFit="1" customWidth="1"/>
    <col min="8963" max="8963" width="3" style="163" bestFit="1" customWidth="1"/>
    <col min="8964" max="8964" width="14.42578125" style="163" bestFit="1" customWidth="1"/>
    <col min="8965" max="8965" width="4.140625" style="163" bestFit="1" customWidth="1"/>
    <col min="8966" max="8966" width="36" style="163" bestFit="1" customWidth="1"/>
    <col min="8967" max="8967" width="21.85546875" style="163" bestFit="1" customWidth="1"/>
    <col min="8968" max="8968" width="6.42578125" style="163" bestFit="1" customWidth="1"/>
    <col min="8969" max="9216" width="8.85546875" style="163"/>
    <col min="9217" max="9217" width="8.7109375" style="163" bestFit="1" customWidth="1"/>
    <col min="9218" max="9218" width="8.28515625" style="163" bestFit="1" customWidth="1"/>
    <col min="9219" max="9219" width="3" style="163" bestFit="1" customWidth="1"/>
    <col min="9220" max="9220" width="14.42578125" style="163" bestFit="1" customWidth="1"/>
    <col min="9221" max="9221" width="4.140625" style="163" bestFit="1" customWidth="1"/>
    <col min="9222" max="9222" width="36" style="163" bestFit="1" customWidth="1"/>
    <col min="9223" max="9223" width="21.85546875" style="163" bestFit="1" customWidth="1"/>
    <col min="9224" max="9224" width="6.42578125" style="163" bestFit="1" customWidth="1"/>
    <col min="9225" max="9472" width="8.85546875" style="163"/>
    <col min="9473" max="9473" width="8.7109375" style="163" bestFit="1" customWidth="1"/>
    <col min="9474" max="9474" width="8.28515625" style="163" bestFit="1" customWidth="1"/>
    <col min="9475" max="9475" width="3" style="163" bestFit="1" customWidth="1"/>
    <col min="9476" max="9476" width="14.42578125" style="163" bestFit="1" customWidth="1"/>
    <col min="9477" max="9477" width="4.140625" style="163" bestFit="1" customWidth="1"/>
    <col min="9478" max="9478" width="36" style="163" bestFit="1" customWidth="1"/>
    <col min="9479" max="9479" width="21.85546875" style="163" bestFit="1" customWidth="1"/>
    <col min="9480" max="9480" width="6.42578125" style="163" bestFit="1" customWidth="1"/>
    <col min="9481" max="9728" width="8.85546875" style="163"/>
    <col min="9729" max="9729" width="8.7109375" style="163" bestFit="1" customWidth="1"/>
    <col min="9730" max="9730" width="8.28515625" style="163" bestFit="1" customWidth="1"/>
    <col min="9731" max="9731" width="3" style="163" bestFit="1" customWidth="1"/>
    <col min="9732" max="9732" width="14.42578125" style="163" bestFit="1" customWidth="1"/>
    <col min="9733" max="9733" width="4.140625" style="163" bestFit="1" customWidth="1"/>
    <col min="9734" max="9734" width="36" style="163" bestFit="1" customWidth="1"/>
    <col min="9735" max="9735" width="21.85546875" style="163" bestFit="1" customWidth="1"/>
    <col min="9736" max="9736" width="6.42578125" style="163" bestFit="1" customWidth="1"/>
    <col min="9737" max="9984" width="8.85546875" style="163"/>
    <col min="9985" max="9985" width="8.7109375" style="163" bestFit="1" customWidth="1"/>
    <col min="9986" max="9986" width="8.28515625" style="163" bestFit="1" customWidth="1"/>
    <col min="9987" max="9987" width="3" style="163" bestFit="1" customWidth="1"/>
    <col min="9988" max="9988" width="14.42578125" style="163" bestFit="1" customWidth="1"/>
    <col min="9989" max="9989" width="4.140625" style="163" bestFit="1" customWidth="1"/>
    <col min="9990" max="9990" width="36" style="163" bestFit="1" customWidth="1"/>
    <col min="9991" max="9991" width="21.85546875" style="163" bestFit="1" customWidth="1"/>
    <col min="9992" max="9992" width="6.42578125" style="163" bestFit="1" customWidth="1"/>
    <col min="9993" max="10240" width="8.85546875" style="163"/>
    <col min="10241" max="10241" width="8.7109375" style="163" bestFit="1" customWidth="1"/>
    <col min="10242" max="10242" width="8.28515625" style="163" bestFit="1" customWidth="1"/>
    <col min="10243" max="10243" width="3" style="163" bestFit="1" customWidth="1"/>
    <col min="10244" max="10244" width="14.42578125" style="163" bestFit="1" customWidth="1"/>
    <col min="10245" max="10245" width="4.140625" style="163" bestFit="1" customWidth="1"/>
    <col min="10246" max="10246" width="36" style="163" bestFit="1" customWidth="1"/>
    <col min="10247" max="10247" width="21.85546875" style="163" bestFit="1" customWidth="1"/>
    <col min="10248" max="10248" width="6.42578125" style="163" bestFit="1" customWidth="1"/>
    <col min="10249" max="10496" width="8.85546875" style="163"/>
    <col min="10497" max="10497" width="8.7109375" style="163" bestFit="1" customWidth="1"/>
    <col min="10498" max="10498" width="8.28515625" style="163" bestFit="1" customWidth="1"/>
    <col min="10499" max="10499" width="3" style="163" bestFit="1" customWidth="1"/>
    <col min="10500" max="10500" width="14.42578125" style="163" bestFit="1" customWidth="1"/>
    <col min="10501" max="10501" width="4.140625" style="163" bestFit="1" customWidth="1"/>
    <col min="10502" max="10502" width="36" style="163" bestFit="1" customWidth="1"/>
    <col min="10503" max="10503" width="21.85546875" style="163" bestFit="1" customWidth="1"/>
    <col min="10504" max="10504" width="6.42578125" style="163" bestFit="1" customWidth="1"/>
    <col min="10505" max="10752" width="8.85546875" style="163"/>
    <col min="10753" max="10753" width="8.7109375" style="163" bestFit="1" customWidth="1"/>
    <col min="10754" max="10754" width="8.28515625" style="163" bestFit="1" customWidth="1"/>
    <col min="10755" max="10755" width="3" style="163" bestFit="1" customWidth="1"/>
    <col min="10756" max="10756" width="14.42578125" style="163" bestFit="1" customWidth="1"/>
    <col min="10757" max="10757" width="4.140625" style="163" bestFit="1" customWidth="1"/>
    <col min="10758" max="10758" width="36" style="163" bestFit="1" customWidth="1"/>
    <col min="10759" max="10759" width="21.85546875" style="163" bestFit="1" customWidth="1"/>
    <col min="10760" max="10760" width="6.42578125" style="163" bestFit="1" customWidth="1"/>
    <col min="10761" max="11008" width="8.85546875" style="163"/>
    <col min="11009" max="11009" width="8.7109375" style="163" bestFit="1" customWidth="1"/>
    <col min="11010" max="11010" width="8.28515625" style="163" bestFit="1" customWidth="1"/>
    <col min="11011" max="11011" width="3" style="163" bestFit="1" customWidth="1"/>
    <col min="11012" max="11012" width="14.42578125" style="163" bestFit="1" customWidth="1"/>
    <col min="11013" max="11013" width="4.140625" style="163" bestFit="1" customWidth="1"/>
    <col min="11014" max="11014" width="36" style="163" bestFit="1" customWidth="1"/>
    <col min="11015" max="11015" width="21.85546875" style="163" bestFit="1" customWidth="1"/>
    <col min="11016" max="11016" width="6.42578125" style="163" bestFit="1" customWidth="1"/>
    <col min="11017" max="11264" width="8.85546875" style="163"/>
    <col min="11265" max="11265" width="8.7109375" style="163" bestFit="1" customWidth="1"/>
    <col min="11266" max="11266" width="8.28515625" style="163" bestFit="1" customWidth="1"/>
    <col min="11267" max="11267" width="3" style="163" bestFit="1" customWidth="1"/>
    <col min="11268" max="11268" width="14.42578125" style="163" bestFit="1" customWidth="1"/>
    <col min="11269" max="11269" width="4.140625" style="163" bestFit="1" customWidth="1"/>
    <col min="11270" max="11270" width="36" style="163" bestFit="1" customWidth="1"/>
    <col min="11271" max="11271" width="21.85546875" style="163" bestFit="1" customWidth="1"/>
    <col min="11272" max="11272" width="6.42578125" style="163" bestFit="1" customWidth="1"/>
    <col min="11273" max="11520" width="8.85546875" style="163"/>
    <col min="11521" max="11521" width="8.7109375" style="163" bestFit="1" customWidth="1"/>
    <col min="11522" max="11522" width="8.28515625" style="163" bestFit="1" customWidth="1"/>
    <col min="11523" max="11523" width="3" style="163" bestFit="1" customWidth="1"/>
    <col min="11524" max="11524" width="14.42578125" style="163" bestFit="1" customWidth="1"/>
    <col min="11525" max="11525" width="4.140625" style="163" bestFit="1" customWidth="1"/>
    <col min="11526" max="11526" width="36" style="163" bestFit="1" customWidth="1"/>
    <col min="11527" max="11527" width="21.85546875" style="163" bestFit="1" customWidth="1"/>
    <col min="11528" max="11528" width="6.42578125" style="163" bestFit="1" customWidth="1"/>
    <col min="11529" max="11776" width="8.85546875" style="163"/>
    <col min="11777" max="11777" width="8.7109375" style="163" bestFit="1" customWidth="1"/>
    <col min="11778" max="11778" width="8.28515625" style="163" bestFit="1" customWidth="1"/>
    <col min="11779" max="11779" width="3" style="163" bestFit="1" customWidth="1"/>
    <col min="11780" max="11780" width="14.42578125" style="163" bestFit="1" customWidth="1"/>
    <col min="11781" max="11781" width="4.140625" style="163" bestFit="1" customWidth="1"/>
    <col min="11782" max="11782" width="36" style="163" bestFit="1" customWidth="1"/>
    <col min="11783" max="11783" width="21.85546875" style="163" bestFit="1" customWidth="1"/>
    <col min="11784" max="11784" width="6.42578125" style="163" bestFit="1" customWidth="1"/>
    <col min="11785" max="12032" width="8.85546875" style="163"/>
    <col min="12033" max="12033" width="8.7109375" style="163" bestFit="1" customWidth="1"/>
    <col min="12034" max="12034" width="8.28515625" style="163" bestFit="1" customWidth="1"/>
    <col min="12035" max="12035" width="3" style="163" bestFit="1" customWidth="1"/>
    <col min="12036" max="12036" width="14.42578125" style="163" bestFit="1" customWidth="1"/>
    <col min="12037" max="12037" width="4.140625" style="163" bestFit="1" customWidth="1"/>
    <col min="12038" max="12038" width="36" style="163" bestFit="1" customWidth="1"/>
    <col min="12039" max="12039" width="21.85546875" style="163" bestFit="1" customWidth="1"/>
    <col min="12040" max="12040" width="6.42578125" style="163" bestFit="1" customWidth="1"/>
    <col min="12041" max="12288" width="8.85546875" style="163"/>
    <col min="12289" max="12289" width="8.7109375" style="163" bestFit="1" customWidth="1"/>
    <col min="12290" max="12290" width="8.28515625" style="163" bestFit="1" customWidth="1"/>
    <col min="12291" max="12291" width="3" style="163" bestFit="1" customWidth="1"/>
    <col min="12292" max="12292" width="14.42578125" style="163" bestFit="1" customWidth="1"/>
    <col min="12293" max="12293" width="4.140625" style="163" bestFit="1" customWidth="1"/>
    <col min="12294" max="12294" width="36" style="163" bestFit="1" customWidth="1"/>
    <col min="12295" max="12295" width="21.85546875" style="163" bestFit="1" customWidth="1"/>
    <col min="12296" max="12296" width="6.42578125" style="163" bestFit="1" customWidth="1"/>
    <col min="12297" max="12544" width="8.85546875" style="163"/>
    <col min="12545" max="12545" width="8.7109375" style="163" bestFit="1" customWidth="1"/>
    <col min="12546" max="12546" width="8.28515625" style="163" bestFit="1" customWidth="1"/>
    <col min="12547" max="12547" width="3" style="163" bestFit="1" customWidth="1"/>
    <col min="12548" max="12548" width="14.42578125" style="163" bestFit="1" customWidth="1"/>
    <col min="12549" max="12549" width="4.140625" style="163" bestFit="1" customWidth="1"/>
    <col min="12550" max="12550" width="36" style="163" bestFit="1" customWidth="1"/>
    <col min="12551" max="12551" width="21.85546875" style="163" bestFit="1" customWidth="1"/>
    <col min="12552" max="12552" width="6.42578125" style="163" bestFit="1" customWidth="1"/>
    <col min="12553" max="12800" width="8.85546875" style="163"/>
    <col min="12801" max="12801" width="8.7109375" style="163" bestFit="1" customWidth="1"/>
    <col min="12802" max="12802" width="8.28515625" style="163" bestFit="1" customWidth="1"/>
    <col min="12803" max="12803" width="3" style="163" bestFit="1" customWidth="1"/>
    <col min="12804" max="12804" width="14.42578125" style="163" bestFit="1" customWidth="1"/>
    <col min="12805" max="12805" width="4.140625" style="163" bestFit="1" customWidth="1"/>
    <col min="12806" max="12806" width="36" style="163" bestFit="1" customWidth="1"/>
    <col min="12807" max="12807" width="21.85546875" style="163" bestFit="1" customWidth="1"/>
    <col min="12808" max="12808" width="6.42578125" style="163" bestFit="1" customWidth="1"/>
    <col min="12809" max="13056" width="8.85546875" style="163"/>
    <col min="13057" max="13057" width="8.7109375" style="163" bestFit="1" customWidth="1"/>
    <col min="13058" max="13058" width="8.28515625" style="163" bestFit="1" customWidth="1"/>
    <col min="13059" max="13059" width="3" style="163" bestFit="1" customWidth="1"/>
    <col min="13060" max="13060" width="14.42578125" style="163" bestFit="1" customWidth="1"/>
    <col min="13061" max="13061" width="4.140625" style="163" bestFit="1" customWidth="1"/>
    <col min="13062" max="13062" width="36" style="163" bestFit="1" customWidth="1"/>
    <col min="13063" max="13063" width="21.85546875" style="163" bestFit="1" customWidth="1"/>
    <col min="13064" max="13064" width="6.42578125" style="163" bestFit="1" customWidth="1"/>
    <col min="13065" max="13312" width="8.85546875" style="163"/>
    <col min="13313" max="13313" width="8.7109375" style="163" bestFit="1" customWidth="1"/>
    <col min="13314" max="13314" width="8.28515625" style="163" bestFit="1" customWidth="1"/>
    <col min="13315" max="13315" width="3" style="163" bestFit="1" customWidth="1"/>
    <col min="13316" max="13316" width="14.42578125" style="163" bestFit="1" customWidth="1"/>
    <col min="13317" max="13317" width="4.140625" style="163" bestFit="1" customWidth="1"/>
    <col min="13318" max="13318" width="36" style="163" bestFit="1" customWidth="1"/>
    <col min="13319" max="13319" width="21.85546875" style="163" bestFit="1" customWidth="1"/>
    <col min="13320" max="13320" width="6.42578125" style="163" bestFit="1" customWidth="1"/>
    <col min="13321" max="13568" width="8.85546875" style="163"/>
    <col min="13569" max="13569" width="8.7109375" style="163" bestFit="1" customWidth="1"/>
    <col min="13570" max="13570" width="8.28515625" style="163" bestFit="1" customWidth="1"/>
    <col min="13571" max="13571" width="3" style="163" bestFit="1" customWidth="1"/>
    <col min="13572" max="13572" width="14.42578125" style="163" bestFit="1" customWidth="1"/>
    <col min="13573" max="13573" width="4.140625" style="163" bestFit="1" customWidth="1"/>
    <col min="13574" max="13574" width="36" style="163" bestFit="1" customWidth="1"/>
    <col min="13575" max="13575" width="21.85546875" style="163" bestFit="1" customWidth="1"/>
    <col min="13576" max="13576" width="6.42578125" style="163" bestFit="1" customWidth="1"/>
    <col min="13577" max="13824" width="8.85546875" style="163"/>
    <col min="13825" max="13825" width="8.7109375" style="163" bestFit="1" customWidth="1"/>
    <col min="13826" max="13826" width="8.28515625" style="163" bestFit="1" customWidth="1"/>
    <col min="13827" max="13827" width="3" style="163" bestFit="1" customWidth="1"/>
    <col min="13828" max="13828" width="14.42578125" style="163" bestFit="1" customWidth="1"/>
    <col min="13829" max="13829" width="4.140625" style="163" bestFit="1" customWidth="1"/>
    <col min="13830" max="13830" width="36" style="163" bestFit="1" customWidth="1"/>
    <col min="13831" max="13831" width="21.85546875" style="163" bestFit="1" customWidth="1"/>
    <col min="13832" max="13832" width="6.42578125" style="163" bestFit="1" customWidth="1"/>
    <col min="13833" max="14080" width="8.85546875" style="163"/>
    <col min="14081" max="14081" width="8.7109375" style="163" bestFit="1" customWidth="1"/>
    <col min="14082" max="14082" width="8.28515625" style="163" bestFit="1" customWidth="1"/>
    <col min="14083" max="14083" width="3" style="163" bestFit="1" customWidth="1"/>
    <col min="14084" max="14084" width="14.42578125" style="163" bestFit="1" customWidth="1"/>
    <col min="14085" max="14085" width="4.140625" style="163" bestFit="1" customWidth="1"/>
    <col min="14086" max="14086" width="36" style="163" bestFit="1" customWidth="1"/>
    <col min="14087" max="14087" width="21.85546875" style="163" bestFit="1" customWidth="1"/>
    <col min="14088" max="14088" width="6.42578125" style="163" bestFit="1" customWidth="1"/>
    <col min="14089" max="14336" width="8.85546875" style="163"/>
    <col min="14337" max="14337" width="8.7109375" style="163" bestFit="1" customWidth="1"/>
    <col min="14338" max="14338" width="8.28515625" style="163" bestFit="1" customWidth="1"/>
    <col min="14339" max="14339" width="3" style="163" bestFit="1" customWidth="1"/>
    <col min="14340" max="14340" width="14.42578125" style="163" bestFit="1" customWidth="1"/>
    <col min="14341" max="14341" width="4.140625" style="163" bestFit="1" customWidth="1"/>
    <col min="14342" max="14342" width="36" style="163" bestFit="1" customWidth="1"/>
    <col min="14343" max="14343" width="21.85546875" style="163" bestFit="1" customWidth="1"/>
    <col min="14344" max="14344" width="6.42578125" style="163" bestFit="1" customWidth="1"/>
    <col min="14345" max="14592" width="8.85546875" style="163"/>
    <col min="14593" max="14593" width="8.7109375" style="163" bestFit="1" customWidth="1"/>
    <col min="14594" max="14594" width="8.28515625" style="163" bestFit="1" customWidth="1"/>
    <col min="14595" max="14595" width="3" style="163" bestFit="1" customWidth="1"/>
    <col min="14596" max="14596" width="14.42578125" style="163" bestFit="1" customWidth="1"/>
    <col min="14597" max="14597" width="4.140625" style="163" bestFit="1" customWidth="1"/>
    <col min="14598" max="14598" width="36" style="163" bestFit="1" customWidth="1"/>
    <col min="14599" max="14599" width="21.85546875" style="163" bestFit="1" customWidth="1"/>
    <col min="14600" max="14600" width="6.42578125" style="163" bestFit="1" customWidth="1"/>
    <col min="14601" max="14848" width="8.85546875" style="163"/>
    <col min="14849" max="14849" width="8.7109375" style="163" bestFit="1" customWidth="1"/>
    <col min="14850" max="14850" width="8.28515625" style="163" bestFit="1" customWidth="1"/>
    <col min="14851" max="14851" width="3" style="163" bestFit="1" customWidth="1"/>
    <col min="14852" max="14852" width="14.42578125" style="163" bestFit="1" customWidth="1"/>
    <col min="14853" max="14853" width="4.140625" style="163" bestFit="1" customWidth="1"/>
    <col min="14854" max="14854" width="36" style="163" bestFit="1" customWidth="1"/>
    <col min="14855" max="14855" width="21.85546875" style="163" bestFit="1" customWidth="1"/>
    <col min="14856" max="14856" width="6.42578125" style="163" bestFit="1" customWidth="1"/>
    <col min="14857" max="15104" width="8.85546875" style="163"/>
    <col min="15105" max="15105" width="8.7109375" style="163" bestFit="1" customWidth="1"/>
    <col min="15106" max="15106" width="8.28515625" style="163" bestFit="1" customWidth="1"/>
    <col min="15107" max="15107" width="3" style="163" bestFit="1" customWidth="1"/>
    <col min="15108" max="15108" width="14.42578125" style="163" bestFit="1" customWidth="1"/>
    <col min="15109" max="15109" width="4.140625" style="163" bestFit="1" customWidth="1"/>
    <col min="15110" max="15110" width="36" style="163" bestFit="1" customWidth="1"/>
    <col min="15111" max="15111" width="21.85546875" style="163" bestFit="1" customWidth="1"/>
    <col min="15112" max="15112" width="6.42578125" style="163" bestFit="1" customWidth="1"/>
    <col min="15113" max="15360" width="8.85546875" style="163"/>
    <col min="15361" max="15361" width="8.7109375" style="163" bestFit="1" customWidth="1"/>
    <col min="15362" max="15362" width="8.28515625" style="163" bestFit="1" customWidth="1"/>
    <col min="15363" max="15363" width="3" style="163" bestFit="1" customWidth="1"/>
    <col min="15364" max="15364" width="14.42578125" style="163" bestFit="1" customWidth="1"/>
    <col min="15365" max="15365" width="4.140625" style="163" bestFit="1" customWidth="1"/>
    <col min="15366" max="15366" width="36" style="163" bestFit="1" customWidth="1"/>
    <col min="15367" max="15367" width="21.85546875" style="163" bestFit="1" customWidth="1"/>
    <col min="15368" max="15368" width="6.42578125" style="163" bestFit="1" customWidth="1"/>
    <col min="15369" max="15616" width="8.85546875" style="163"/>
    <col min="15617" max="15617" width="8.7109375" style="163" bestFit="1" customWidth="1"/>
    <col min="15618" max="15618" width="8.28515625" style="163" bestFit="1" customWidth="1"/>
    <col min="15619" max="15619" width="3" style="163" bestFit="1" customWidth="1"/>
    <col min="15620" max="15620" width="14.42578125" style="163" bestFit="1" customWidth="1"/>
    <col min="15621" max="15621" width="4.140625" style="163" bestFit="1" customWidth="1"/>
    <col min="15622" max="15622" width="36" style="163" bestFit="1" customWidth="1"/>
    <col min="15623" max="15623" width="21.85546875" style="163" bestFit="1" customWidth="1"/>
    <col min="15624" max="15624" width="6.42578125" style="163" bestFit="1" customWidth="1"/>
    <col min="15625" max="15872" width="8.85546875" style="163"/>
    <col min="15873" max="15873" width="8.7109375" style="163" bestFit="1" customWidth="1"/>
    <col min="15874" max="15874" width="8.28515625" style="163" bestFit="1" customWidth="1"/>
    <col min="15875" max="15875" width="3" style="163" bestFit="1" customWidth="1"/>
    <col min="15876" max="15876" width="14.42578125" style="163" bestFit="1" customWidth="1"/>
    <col min="15877" max="15877" width="4.140625" style="163" bestFit="1" customWidth="1"/>
    <col min="15878" max="15878" width="36" style="163" bestFit="1" customWidth="1"/>
    <col min="15879" max="15879" width="21.85546875" style="163" bestFit="1" customWidth="1"/>
    <col min="15880" max="15880" width="6.42578125" style="163" bestFit="1" customWidth="1"/>
    <col min="15881" max="16128" width="8.85546875" style="163"/>
    <col min="16129" max="16129" width="8.7109375" style="163" bestFit="1" customWidth="1"/>
    <col min="16130" max="16130" width="8.28515625" style="163" bestFit="1" customWidth="1"/>
    <col min="16131" max="16131" width="3" style="163" bestFit="1" customWidth="1"/>
    <col min="16132" max="16132" width="14.42578125" style="163" bestFit="1" customWidth="1"/>
    <col min="16133" max="16133" width="4.140625" style="163" bestFit="1" customWidth="1"/>
    <col min="16134" max="16134" width="36" style="163" bestFit="1" customWidth="1"/>
    <col min="16135" max="16135" width="21.85546875" style="163" bestFit="1" customWidth="1"/>
    <col min="16136" max="16136" width="6.42578125" style="163" bestFit="1" customWidth="1"/>
    <col min="16137" max="16384" width="8.85546875" style="163"/>
  </cols>
  <sheetData>
    <row r="1" spans="1:8">
      <c r="A1" s="161" t="s">
        <v>4991</v>
      </c>
      <c r="B1" s="161" t="s">
        <v>4992</v>
      </c>
      <c r="C1" s="161" t="s">
        <v>4320</v>
      </c>
      <c r="D1" s="161" t="s">
        <v>4993</v>
      </c>
      <c r="E1" s="161" t="s">
        <v>4321</v>
      </c>
      <c r="F1" s="161" t="s">
        <v>238</v>
      </c>
      <c r="G1" s="161" t="s">
        <v>4994</v>
      </c>
      <c r="H1" s="162" t="s">
        <v>4323</v>
      </c>
    </row>
    <row r="2" spans="1:8">
      <c r="A2" s="164" t="s">
        <v>688</v>
      </c>
      <c r="B2" s="164" t="s">
        <v>4995</v>
      </c>
      <c r="C2" s="164">
        <v>4</v>
      </c>
      <c r="D2" s="164" t="s">
        <v>4958</v>
      </c>
      <c r="E2" s="164">
        <v>4</v>
      </c>
      <c r="F2" s="164" t="s">
        <v>4343</v>
      </c>
      <c r="G2" s="164" t="s">
        <v>4996</v>
      </c>
      <c r="H2" s="165">
        <v>2880</v>
      </c>
    </row>
    <row r="3" spans="1:8">
      <c r="A3" s="164" t="s">
        <v>688</v>
      </c>
      <c r="B3" s="164" t="s">
        <v>4995</v>
      </c>
      <c r="C3" s="164">
        <v>5</v>
      </c>
      <c r="D3" s="164" t="s">
        <v>4958</v>
      </c>
      <c r="E3" s="164">
        <v>1</v>
      </c>
      <c r="F3" s="164" t="s">
        <v>4330</v>
      </c>
      <c r="G3" s="164" t="s">
        <v>4379</v>
      </c>
      <c r="H3" s="165">
        <v>1480</v>
      </c>
    </row>
    <row r="4" spans="1:8">
      <c r="A4" s="164" t="s">
        <v>688</v>
      </c>
      <c r="B4" s="164" t="s">
        <v>4995</v>
      </c>
      <c r="C4" s="164">
        <v>6</v>
      </c>
      <c r="D4" s="164" t="s">
        <v>4958</v>
      </c>
      <c r="E4" s="164">
        <v>6</v>
      </c>
      <c r="F4" s="164" t="s">
        <v>4409</v>
      </c>
      <c r="G4" s="164" t="s">
        <v>4361</v>
      </c>
      <c r="H4" s="165">
        <v>14100</v>
      </c>
    </row>
    <row r="5" spans="1:8">
      <c r="A5" s="164" t="s">
        <v>688</v>
      </c>
      <c r="B5" s="164" t="s">
        <v>4995</v>
      </c>
      <c r="C5" s="164">
        <v>7</v>
      </c>
      <c r="D5" s="164" t="s">
        <v>4958</v>
      </c>
      <c r="E5" s="164">
        <v>2</v>
      </c>
      <c r="F5" s="164" t="s">
        <v>4409</v>
      </c>
      <c r="G5" s="164" t="s">
        <v>4362</v>
      </c>
      <c r="H5" s="165">
        <v>6460</v>
      </c>
    </row>
    <row r="6" spans="1:8">
      <c r="A6" s="164" t="s">
        <v>688</v>
      </c>
      <c r="B6" s="164" t="s">
        <v>4995</v>
      </c>
      <c r="C6" s="164">
        <v>8</v>
      </c>
      <c r="D6" s="164" t="s">
        <v>4958</v>
      </c>
      <c r="E6" s="164">
        <v>1</v>
      </c>
      <c r="F6" s="164" t="s">
        <v>4409</v>
      </c>
      <c r="G6" s="164" t="s">
        <v>4335</v>
      </c>
      <c r="H6" s="165">
        <v>2740</v>
      </c>
    </row>
    <row r="7" spans="1:8">
      <c r="A7" s="164" t="s">
        <v>688</v>
      </c>
      <c r="B7" s="164" t="s">
        <v>4995</v>
      </c>
      <c r="C7" s="164">
        <v>9</v>
      </c>
      <c r="D7" s="164" t="s">
        <v>4958</v>
      </c>
      <c r="E7" s="164">
        <v>2</v>
      </c>
      <c r="F7" s="164" t="s">
        <v>4357</v>
      </c>
      <c r="G7" s="164" t="s">
        <v>4340</v>
      </c>
      <c r="H7" s="165">
        <v>5880</v>
      </c>
    </row>
    <row r="8" spans="1:8">
      <c r="A8" s="164" t="s">
        <v>688</v>
      </c>
      <c r="B8" s="164" t="s">
        <v>4995</v>
      </c>
      <c r="C8" s="164">
        <v>10</v>
      </c>
      <c r="D8" s="164" t="s">
        <v>4958</v>
      </c>
      <c r="E8" s="164">
        <v>1</v>
      </c>
      <c r="F8" s="164" t="s">
        <v>4468</v>
      </c>
      <c r="G8" s="164" t="s">
        <v>4701</v>
      </c>
      <c r="H8" s="165">
        <v>5840</v>
      </c>
    </row>
    <row r="9" spans="1:8">
      <c r="A9" s="164" t="s">
        <v>688</v>
      </c>
      <c r="B9" s="164" t="s">
        <v>4995</v>
      </c>
      <c r="C9" s="164">
        <v>11</v>
      </c>
      <c r="D9" s="164" t="s">
        <v>4958</v>
      </c>
      <c r="E9" s="164">
        <v>1</v>
      </c>
      <c r="F9" s="164" t="s">
        <v>4409</v>
      </c>
      <c r="G9" s="164" t="s">
        <v>4361</v>
      </c>
      <c r="H9" s="165">
        <v>1860</v>
      </c>
    </row>
    <row r="10" spans="1:8">
      <c r="A10" s="164" t="s">
        <v>688</v>
      </c>
      <c r="B10" s="164" t="s">
        <v>4995</v>
      </c>
      <c r="C10" s="164">
        <v>12</v>
      </c>
      <c r="D10" s="164" t="s">
        <v>4958</v>
      </c>
      <c r="E10" s="164">
        <v>1</v>
      </c>
      <c r="F10" s="164" t="s">
        <v>4610</v>
      </c>
      <c r="G10" s="164" t="s">
        <v>4997</v>
      </c>
      <c r="H10" s="165">
        <v>1330</v>
      </c>
    </row>
    <row r="11" spans="1:8">
      <c r="A11" s="164" t="s">
        <v>688</v>
      </c>
      <c r="B11" s="164" t="s">
        <v>4995</v>
      </c>
      <c r="C11" s="164">
        <v>13</v>
      </c>
      <c r="D11" s="164" t="s">
        <v>4958</v>
      </c>
      <c r="E11" s="164">
        <v>1</v>
      </c>
      <c r="F11" s="164" t="s">
        <v>4328</v>
      </c>
      <c r="G11" s="164" t="s">
        <v>4998</v>
      </c>
      <c r="H11" s="165">
        <v>3550</v>
      </c>
    </row>
    <row r="12" spans="1:8">
      <c r="A12" s="164" t="s">
        <v>688</v>
      </c>
      <c r="B12" s="164" t="s">
        <v>4995</v>
      </c>
      <c r="C12" s="164">
        <v>14</v>
      </c>
      <c r="D12" s="164" t="s">
        <v>4958</v>
      </c>
      <c r="E12" s="164">
        <v>1</v>
      </c>
      <c r="F12" s="164" t="s">
        <v>4686</v>
      </c>
      <c r="G12" s="164" t="s">
        <v>4700</v>
      </c>
      <c r="H12" s="165">
        <v>4380</v>
      </c>
    </row>
    <row r="13" spans="1:8">
      <c r="A13" s="164" t="s">
        <v>688</v>
      </c>
      <c r="B13" s="164" t="s">
        <v>4995</v>
      </c>
      <c r="C13" s="164">
        <v>15</v>
      </c>
      <c r="D13" s="164" t="s">
        <v>4958</v>
      </c>
      <c r="E13" s="164">
        <v>1</v>
      </c>
      <c r="F13" s="164" t="s">
        <v>4999</v>
      </c>
      <c r="G13" s="164" t="s">
        <v>4901</v>
      </c>
      <c r="H13" s="165">
        <v>6000</v>
      </c>
    </row>
    <row r="14" spans="1:8">
      <c r="A14" s="164" t="s">
        <v>688</v>
      </c>
      <c r="B14" s="164" t="s">
        <v>4995</v>
      </c>
      <c r="C14" s="164">
        <v>16</v>
      </c>
      <c r="D14" s="164" t="s">
        <v>4958</v>
      </c>
      <c r="E14" s="164">
        <v>2</v>
      </c>
      <c r="F14" s="164" t="s">
        <v>4409</v>
      </c>
      <c r="G14" s="164" t="s">
        <v>4340</v>
      </c>
      <c r="H14" s="165">
        <v>3340</v>
      </c>
    </row>
    <row r="15" spans="1:8">
      <c r="A15" s="164" t="s">
        <v>688</v>
      </c>
      <c r="B15" s="164" t="s">
        <v>4995</v>
      </c>
      <c r="C15" s="164">
        <v>17</v>
      </c>
      <c r="D15" s="164" t="s">
        <v>4958</v>
      </c>
      <c r="E15" s="164">
        <v>1</v>
      </c>
      <c r="F15" s="164" t="s">
        <v>4409</v>
      </c>
      <c r="G15" s="164" t="s">
        <v>4340</v>
      </c>
      <c r="H15" s="165">
        <v>1370</v>
      </c>
    </row>
    <row r="16" spans="1:8">
      <c r="A16" s="164" t="s">
        <v>688</v>
      </c>
      <c r="B16" s="164" t="s">
        <v>4995</v>
      </c>
      <c r="C16" s="164">
        <v>23</v>
      </c>
      <c r="D16" s="164" t="s">
        <v>4958</v>
      </c>
      <c r="E16" s="164">
        <v>5</v>
      </c>
      <c r="F16" s="164" t="s">
        <v>4447</v>
      </c>
      <c r="G16" s="164" t="s">
        <v>4996</v>
      </c>
      <c r="H16" s="165">
        <v>2750</v>
      </c>
    </row>
    <row r="17" spans="1:8">
      <c r="A17" s="164" t="s">
        <v>688</v>
      </c>
      <c r="B17" s="164" t="s">
        <v>4995</v>
      </c>
      <c r="C17" s="164">
        <v>26</v>
      </c>
      <c r="D17" s="164" t="s">
        <v>4958</v>
      </c>
      <c r="E17" s="164">
        <v>1</v>
      </c>
      <c r="F17" s="164" t="s">
        <v>5000</v>
      </c>
      <c r="G17" s="164" t="s">
        <v>4996</v>
      </c>
      <c r="H17" s="165">
        <v>770</v>
      </c>
    </row>
    <row r="18" spans="1:8">
      <c r="A18" s="164" t="s">
        <v>688</v>
      </c>
      <c r="B18" s="164" t="s">
        <v>4995</v>
      </c>
      <c r="C18" s="164">
        <v>27</v>
      </c>
      <c r="D18" s="164" t="s">
        <v>4958</v>
      </c>
      <c r="E18" s="164">
        <v>1</v>
      </c>
      <c r="F18" s="164" t="s">
        <v>5001</v>
      </c>
      <c r="G18" s="164" t="s">
        <v>4996</v>
      </c>
      <c r="H18" s="165">
        <v>24000</v>
      </c>
    </row>
    <row r="19" spans="1:8">
      <c r="A19" s="164" t="s">
        <v>688</v>
      </c>
      <c r="B19" s="164" t="s">
        <v>4995</v>
      </c>
      <c r="C19" s="164">
        <v>28</v>
      </c>
      <c r="D19" s="164" t="s">
        <v>4958</v>
      </c>
      <c r="E19" s="164">
        <v>1</v>
      </c>
      <c r="F19" s="164" t="s">
        <v>5002</v>
      </c>
      <c r="G19" s="164" t="s">
        <v>5003</v>
      </c>
      <c r="H19" s="165">
        <v>531</v>
      </c>
    </row>
    <row r="20" spans="1:8">
      <c r="A20" s="164" t="s">
        <v>688</v>
      </c>
      <c r="B20" s="164" t="s">
        <v>4995</v>
      </c>
      <c r="C20" s="164">
        <v>29</v>
      </c>
      <c r="D20" s="164" t="s">
        <v>4958</v>
      </c>
      <c r="E20" s="164">
        <v>1</v>
      </c>
      <c r="F20" s="164" t="s">
        <v>5004</v>
      </c>
      <c r="G20" s="164" t="s">
        <v>5005</v>
      </c>
      <c r="H20" s="165">
        <v>118</v>
      </c>
    </row>
    <row r="21" spans="1:8">
      <c r="A21" s="164" t="s">
        <v>688</v>
      </c>
      <c r="B21" s="164" t="s">
        <v>4995</v>
      </c>
      <c r="C21" s="164">
        <v>33</v>
      </c>
      <c r="D21" s="164" t="s">
        <v>4958</v>
      </c>
      <c r="E21" s="164">
        <v>1</v>
      </c>
      <c r="F21" s="164" t="s">
        <v>5006</v>
      </c>
      <c r="G21" s="164" t="s">
        <v>5007</v>
      </c>
      <c r="H21" s="165">
        <v>22800</v>
      </c>
    </row>
    <row r="22" spans="1:8">
      <c r="A22" s="164" t="s">
        <v>688</v>
      </c>
      <c r="B22" s="164" t="s">
        <v>4995</v>
      </c>
      <c r="C22" s="164">
        <v>34</v>
      </c>
      <c r="D22" s="164" t="s">
        <v>4958</v>
      </c>
      <c r="E22" s="164">
        <v>18</v>
      </c>
      <c r="F22" s="164" t="s">
        <v>5008</v>
      </c>
      <c r="G22" s="164" t="s">
        <v>5009</v>
      </c>
      <c r="H22" s="165">
        <v>3960</v>
      </c>
    </row>
    <row r="23" spans="1:8">
      <c r="A23" s="164" t="s">
        <v>688</v>
      </c>
      <c r="B23" s="164" t="s">
        <v>4995</v>
      </c>
      <c r="C23" s="164">
        <v>35</v>
      </c>
      <c r="D23" s="164" t="s">
        <v>4958</v>
      </c>
      <c r="E23" s="164">
        <v>1</v>
      </c>
      <c r="F23" s="164" t="s">
        <v>5010</v>
      </c>
      <c r="H23" s="165">
        <v>9490</v>
      </c>
    </row>
    <row r="24" spans="1:8">
      <c r="A24" s="164" t="s">
        <v>673</v>
      </c>
      <c r="B24" s="164" t="s">
        <v>4995</v>
      </c>
      <c r="C24" s="164">
        <v>18</v>
      </c>
      <c r="D24" s="164" t="s">
        <v>4975</v>
      </c>
      <c r="E24" s="164">
        <v>1</v>
      </c>
      <c r="F24" s="164" t="s">
        <v>4468</v>
      </c>
      <c r="G24" s="164" t="s">
        <v>4701</v>
      </c>
      <c r="H24" s="165">
        <v>5840</v>
      </c>
    </row>
    <row r="25" spans="1:8">
      <c r="A25" s="164" t="s">
        <v>673</v>
      </c>
      <c r="B25" s="164" t="s">
        <v>4995</v>
      </c>
      <c r="C25" s="164">
        <v>19</v>
      </c>
      <c r="D25" s="164" t="s">
        <v>4975</v>
      </c>
      <c r="E25" s="164">
        <v>16</v>
      </c>
      <c r="F25" s="164" t="s">
        <v>4409</v>
      </c>
      <c r="G25" s="164" t="s">
        <v>4340</v>
      </c>
      <c r="H25" s="165">
        <v>26720</v>
      </c>
    </row>
    <row r="26" spans="1:8">
      <c r="A26" s="164" t="s">
        <v>673</v>
      </c>
      <c r="B26" s="164" t="s">
        <v>4995</v>
      </c>
      <c r="C26" s="164">
        <v>20</v>
      </c>
      <c r="D26" s="164" t="s">
        <v>4975</v>
      </c>
      <c r="E26" s="164">
        <v>12</v>
      </c>
      <c r="F26" s="164" t="s">
        <v>4343</v>
      </c>
      <c r="G26" s="164" t="s">
        <v>4996</v>
      </c>
      <c r="H26" s="165">
        <v>8640</v>
      </c>
    </row>
    <row r="27" spans="1:8">
      <c r="A27" s="164" t="s">
        <v>673</v>
      </c>
      <c r="B27" s="164" t="s">
        <v>4995</v>
      </c>
      <c r="C27" s="164">
        <v>21</v>
      </c>
      <c r="D27" s="164" t="s">
        <v>4975</v>
      </c>
      <c r="E27" s="164">
        <v>1</v>
      </c>
      <c r="F27" s="164" t="s">
        <v>4381</v>
      </c>
      <c r="G27" s="164" t="s">
        <v>4996</v>
      </c>
      <c r="H27" s="165">
        <v>620</v>
      </c>
    </row>
    <row r="28" spans="1:8">
      <c r="A28" s="164" t="s">
        <v>673</v>
      </c>
      <c r="B28" s="164" t="s">
        <v>4995</v>
      </c>
      <c r="C28" s="164">
        <v>22</v>
      </c>
      <c r="D28" s="164" t="s">
        <v>4975</v>
      </c>
      <c r="E28" s="164">
        <v>1</v>
      </c>
      <c r="F28" s="164" t="s">
        <v>4357</v>
      </c>
      <c r="G28" s="164" t="s">
        <v>4340</v>
      </c>
      <c r="H28" s="165">
        <v>2940</v>
      </c>
    </row>
    <row r="29" spans="1:8">
      <c r="A29" s="164" t="s">
        <v>673</v>
      </c>
      <c r="B29" s="164" t="s">
        <v>4995</v>
      </c>
      <c r="C29" s="164">
        <v>24</v>
      </c>
      <c r="D29" s="164" t="s">
        <v>4975</v>
      </c>
      <c r="E29" s="164">
        <v>8</v>
      </c>
      <c r="F29" s="164" t="s">
        <v>5011</v>
      </c>
      <c r="G29" s="164" t="s">
        <v>4996</v>
      </c>
      <c r="H29" s="165">
        <v>4400</v>
      </c>
    </row>
    <row r="30" spans="1:8">
      <c r="A30" s="164" t="s">
        <v>673</v>
      </c>
      <c r="B30" s="164" t="s">
        <v>4995</v>
      </c>
      <c r="C30" s="164">
        <v>25</v>
      </c>
      <c r="D30" s="164" t="s">
        <v>4975</v>
      </c>
      <c r="E30" s="164">
        <v>1</v>
      </c>
      <c r="F30" s="164" t="s">
        <v>5000</v>
      </c>
      <c r="G30" s="164" t="s">
        <v>4996</v>
      </c>
      <c r="H30" s="165">
        <v>770</v>
      </c>
    </row>
    <row r="31" spans="1:8">
      <c r="A31" s="164" t="s">
        <v>673</v>
      </c>
      <c r="B31" s="164" t="s">
        <v>4995</v>
      </c>
      <c r="C31" s="164">
        <v>30</v>
      </c>
      <c r="D31" s="164" t="s">
        <v>4975</v>
      </c>
      <c r="E31" s="164">
        <v>1</v>
      </c>
      <c r="F31" s="164" t="s">
        <v>5002</v>
      </c>
      <c r="G31" s="164" t="s">
        <v>4618</v>
      </c>
      <c r="H31" s="165">
        <v>3390</v>
      </c>
    </row>
    <row r="32" spans="1:8">
      <c r="A32" s="164" t="s">
        <v>673</v>
      </c>
      <c r="B32" s="164" t="s">
        <v>4995</v>
      </c>
      <c r="C32" s="164">
        <v>31</v>
      </c>
      <c r="D32" s="164" t="s">
        <v>4975</v>
      </c>
      <c r="E32" s="164">
        <v>1</v>
      </c>
      <c r="F32" s="164" t="s">
        <v>5012</v>
      </c>
      <c r="G32" s="164" t="s">
        <v>4896</v>
      </c>
      <c r="H32" s="165">
        <v>1420</v>
      </c>
    </row>
    <row r="33" spans="1:8">
      <c r="A33" s="164" t="s">
        <v>673</v>
      </c>
      <c r="B33" s="164" t="s">
        <v>4995</v>
      </c>
      <c r="C33" s="164">
        <v>32</v>
      </c>
      <c r="D33" s="164" t="s">
        <v>4975</v>
      </c>
      <c r="E33" s="164">
        <v>1</v>
      </c>
      <c r="F33" s="164" t="s">
        <v>5006</v>
      </c>
      <c r="G33" s="164" t="s">
        <v>5007</v>
      </c>
      <c r="H33" s="165">
        <v>22800</v>
      </c>
    </row>
    <row r="34" spans="1:8">
      <c r="A34" s="164" t="s">
        <v>673</v>
      </c>
      <c r="B34" s="164" t="s">
        <v>4995</v>
      </c>
      <c r="C34" s="164">
        <v>36</v>
      </c>
      <c r="D34" s="164" t="s">
        <v>4975</v>
      </c>
      <c r="E34" s="164">
        <v>1</v>
      </c>
      <c r="F34" s="164" t="s">
        <v>5010</v>
      </c>
      <c r="H34" s="168">
        <v>9490</v>
      </c>
    </row>
    <row r="35" spans="1:8">
      <c r="F35" s="163" t="s">
        <v>5013</v>
      </c>
      <c r="H35" s="167">
        <f>SUM(H2:H34)</f>
        <v>212659</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M126"/>
  <sheetViews>
    <sheetView view="pageBreakPreview" zoomScale="60" workbookViewId="0">
      <selection activeCell="C4" sqref="C4"/>
    </sheetView>
  </sheetViews>
  <sheetFormatPr defaultColWidth="8.85546875" defaultRowHeight="18.75"/>
  <cols>
    <col min="1" max="1" width="14" style="63" customWidth="1"/>
    <col min="2" max="2" width="28.42578125" style="78" customWidth="1"/>
    <col min="3" max="3" width="56.140625" style="68" customWidth="1"/>
    <col min="4" max="4" width="8.85546875" style="63"/>
    <col min="5" max="5" width="64.85546875" style="63" customWidth="1"/>
    <col min="6" max="6" width="51.42578125" style="63" customWidth="1"/>
    <col min="7" max="7" width="45.140625" style="63" customWidth="1"/>
    <col min="8" max="8" width="33.42578125" style="63" customWidth="1"/>
    <col min="9" max="10" width="8.85546875" style="63"/>
    <col min="11" max="11" width="22.140625" style="63" customWidth="1"/>
    <col min="12" max="12" width="18.42578125" style="63" customWidth="1"/>
    <col min="13" max="16384" width="8.85546875" style="63"/>
  </cols>
  <sheetData>
    <row r="1" spans="1:13" s="49" customFormat="1">
      <c r="B1" s="50" t="s">
        <v>236</v>
      </c>
      <c r="C1" s="51"/>
      <c r="D1" s="52"/>
    </row>
    <row r="2" spans="1:13" s="49" customFormat="1">
      <c r="A2" s="53" t="s">
        <v>441</v>
      </c>
      <c r="B2" s="54"/>
      <c r="C2" s="55"/>
      <c r="D2" s="56"/>
      <c r="E2" s="53"/>
      <c r="F2" s="53"/>
      <c r="G2" s="53"/>
      <c r="H2" s="53"/>
      <c r="I2" s="53"/>
      <c r="J2" s="53"/>
      <c r="K2" s="53"/>
      <c r="L2" s="53"/>
      <c r="M2" s="53"/>
    </row>
    <row r="3" spans="1:13">
      <c r="A3" s="57"/>
      <c r="B3" s="58" t="s">
        <v>237</v>
      </c>
      <c r="C3" s="59" t="s">
        <v>238</v>
      </c>
      <c r="D3" s="60" t="s">
        <v>239</v>
      </c>
      <c r="E3" s="61" t="s">
        <v>240</v>
      </c>
      <c r="F3" s="62"/>
      <c r="G3" s="62"/>
      <c r="H3" s="62"/>
      <c r="I3" s="62"/>
      <c r="J3" s="62"/>
      <c r="K3" s="62"/>
      <c r="L3" s="62"/>
      <c r="M3" s="62"/>
    </row>
    <row r="4" spans="1:13" ht="150">
      <c r="A4" s="57" t="s">
        <v>419</v>
      </c>
      <c r="B4" s="64" t="s">
        <v>214</v>
      </c>
      <c r="C4" s="65" t="s">
        <v>242</v>
      </c>
      <c r="D4" s="66">
        <v>0</v>
      </c>
      <c r="E4" s="62" t="s">
        <v>241</v>
      </c>
      <c r="F4" s="63" t="s">
        <v>400</v>
      </c>
      <c r="G4" s="62"/>
      <c r="H4" s="62"/>
      <c r="I4" s="62"/>
      <c r="J4" s="62"/>
      <c r="K4" s="62"/>
      <c r="L4" s="62"/>
      <c r="M4" s="62"/>
    </row>
    <row r="5" spans="1:13">
      <c r="B5" s="67"/>
      <c r="D5" s="69">
        <v>1</v>
      </c>
      <c r="E5" s="63" t="s">
        <v>270</v>
      </c>
      <c r="F5" s="63" t="s">
        <v>442</v>
      </c>
    </row>
    <row r="6" spans="1:13">
      <c r="B6" s="67"/>
      <c r="D6" s="69">
        <v>9</v>
      </c>
      <c r="E6" s="63" t="s">
        <v>271</v>
      </c>
      <c r="F6" s="63" t="s">
        <v>443</v>
      </c>
    </row>
    <row r="7" spans="1:13">
      <c r="A7" s="57" t="s">
        <v>420</v>
      </c>
      <c r="B7" s="64" t="s">
        <v>215</v>
      </c>
      <c r="C7" s="65" t="s">
        <v>209</v>
      </c>
      <c r="D7" s="66">
        <v>0</v>
      </c>
      <c r="E7" s="62" t="s">
        <v>241</v>
      </c>
      <c r="F7" s="63" t="s">
        <v>400</v>
      </c>
      <c r="G7" s="62"/>
      <c r="H7" s="62"/>
      <c r="I7" s="62"/>
      <c r="J7" s="62"/>
      <c r="K7" s="62"/>
      <c r="L7" s="62"/>
      <c r="M7" s="62"/>
    </row>
    <row r="8" spans="1:13">
      <c r="B8" s="67"/>
      <c r="D8" s="69">
        <v>1</v>
      </c>
      <c r="E8" s="63" t="s">
        <v>272</v>
      </c>
      <c r="F8" s="63" t="s">
        <v>444</v>
      </c>
    </row>
    <row r="9" spans="1:13">
      <c r="B9" s="67"/>
      <c r="D9" s="69">
        <v>2</v>
      </c>
      <c r="E9" s="63" t="s">
        <v>273</v>
      </c>
      <c r="F9" s="63" t="s">
        <v>445</v>
      </c>
    </row>
    <row r="10" spans="1:13">
      <c r="B10" s="67"/>
      <c r="D10" s="69">
        <v>3</v>
      </c>
      <c r="E10" s="63" t="s">
        <v>275</v>
      </c>
      <c r="F10" s="63" t="s">
        <v>446</v>
      </c>
    </row>
    <row r="11" spans="1:13">
      <c r="B11" s="67"/>
      <c r="D11" s="69">
        <v>4</v>
      </c>
      <c r="E11" s="63" t="s">
        <v>274</v>
      </c>
      <c r="F11" s="63" t="s">
        <v>447</v>
      </c>
    </row>
    <row r="12" spans="1:13">
      <c r="B12" s="67"/>
      <c r="D12" s="69">
        <v>5</v>
      </c>
      <c r="E12" s="63" t="s">
        <v>276</v>
      </c>
      <c r="F12" s="63" t="s">
        <v>448</v>
      </c>
    </row>
    <row r="13" spans="1:13">
      <c r="B13" s="67"/>
      <c r="D13" s="69">
        <v>6</v>
      </c>
      <c r="E13" s="63" t="s">
        <v>277</v>
      </c>
      <c r="F13" s="63" t="s">
        <v>449</v>
      </c>
    </row>
    <row r="14" spans="1:13">
      <c r="B14" s="67"/>
      <c r="D14" s="69">
        <v>7</v>
      </c>
      <c r="E14" s="63" t="s">
        <v>278</v>
      </c>
      <c r="F14" s="63" t="s">
        <v>450</v>
      </c>
    </row>
    <row r="15" spans="1:13">
      <c r="B15" s="67"/>
      <c r="D15" s="69">
        <v>8</v>
      </c>
      <c r="E15" s="63" t="s">
        <v>281</v>
      </c>
      <c r="F15" s="63" t="s">
        <v>451</v>
      </c>
    </row>
    <row r="16" spans="1:13">
      <c r="A16" s="70"/>
      <c r="B16" s="71"/>
      <c r="C16" s="72"/>
      <c r="D16" s="73">
        <v>9</v>
      </c>
      <c r="E16" s="70" t="s">
        <v>279</v>
      </c>
      <c r="F16" s="63" t="s">
        <v>452</v>
      </c>
      <c r="G16" s="70"/>
      <c r="H16" s="70"/>
      <c r="I16" s="70"/>
      <c r="J16" s="70"/>
      <c r="K16" s="70"/>
      <c r="L16" s="70"/>
      <c r="M16" s="70"/>
    </row>
    <row r="17" spans="1:13">
      <c r="A17" s="74"/>
      <c r="B17" s="75"/>
      <c r="C17" s="76"/>
      <c r="D17" s="77">
        <v>10</v>
      </c>
      <c r="E17" s="74" t="s">
        <v>280</v>
      </c>
      <c r="F17" s="63" t="s">
        <v>453</v>
      </c>
      <c r="G17" s="74"/>
      <c r="H17" s="74"/>
      <c r="I17" s="74"/>
      <c r="J17" s="74"/>
      <c r="K17" s="74"/>
      <c r="L17" s="74"/>
      <c r="M17" s="74"/>
    </row>
    <row r="18" spans="1:13" ht="93.75">
      <c r="A18" s="57" t="s">
        <v>421</v>
      </c>
      <c r="B18" s="64" t="s">
        <v>216</v>
      </c>
      <c r="C18" s="65" t="s">
        <v>243</v>
      </c>
      <c r="D18" s="66">
        <v>0</v>
      </c>
      <c r="E18" s="62" t="s">
        <v>241</v>
      </c>
      <c r="F18" s="63" t="s">
        <v>400</v>
      </c>
      <c r="G18" s="62"/>
      <c r="H18" s="62"/>
      <c r="I18" s="62"/>
      <c r="J18" s="62"/>
      <c r="K18" s="62"/>
      <c r="L18" s="62"/>
      <c r="M18" s="62"/>
    </row>
    <row r="19" spans="1:13">
      <c r="B19" s="67"/>
      <c r="D19" s="69">
        <v>1</v>
      </c>
      <c r="E19" s="63" t="s">
        <v>282</v>
      </c>
      <c r="F19" s="63" t="s">
        <v>454</v>
      </c>
    </row>
    <row r="20" spans="1:13">
      <c r="B20" s="67"/>
      <c r="D20" s="69">
        <v>2</v>
      </c>
      <c r="E20" s="63" t="s">
        <v>283</v>
      </c>
      <c r="F20" s="63" t="s">
        <v>455</v>
      </c>
    </row>
    <row r="21" spans="1:13">
      <c r="B21" s="67"/>
      <c r="D21" s="69">
        <v>3</v>
      </c>
      <c r="E21" s="63" t="s">
        <v>284</v>
      </c>
      <c r="F21" s="63" t="s">
        <v>456</v>
      </c>
    </row>
    <row r="22" spans="1:13">
      <c r="B22" s="67"/>
      <c r="D22" s="69">
        <v>4</v>
      </c>
      <c r="E22" s="63" t="s">
        <v>285</v>
      </c>
      <c r="F22" s="63" t="s">
        <v>457</v>
      </c>
    </row>
    <row r="23" spans="1:13">
      <c r="B23" s="67"/>
      <c r="D23" s="69">
        <v>5</v>
      </c>
      <c r="E23" s="63" t="s">
        <v>286</v>
      </c>
      <c r="F23" s="63" t="s">
        <v>458</v>
      </c>
    </row>
    <row r="24" spans="1:13">
      <c r="B24" s="67"/>
      <c r="D24" s="69">
        <v>6</v>
      </c>
      <c r="E24" s="63" t="s">
        <v>287</v>
      </c>
      <c r="F24" s="63" t="s">
        <v>459</v>
      </c>
    </row>
    <row r="25" spans="1:13">
      <c r="B25" s="67"/>
      <c r="D25" s="69">
        <v>7</v>
      </c>
      <c r="E25" s="63" t="s">
        <v>288</v>
      </c>
      <c r="F25" s="63" t="s">
        <v>460</v>
      </c>
    </row>
    <row r="26" spans="1:13">
      <c r="B26" s="67"/>
      <c r="D26" s="69">
        <v>8</v>
      </c>
      <c r="E26" s="63" t="s">
        <v>289</v>
      </c>
      <c r="F26" s="63" t="s">
        <v>461</v>
      </c>
    </row>
    <row r="27" spans="1:13" ht="56.25">
      <c r="A27" s="57" t="s">
        <v>422</v>
      </c>
      <c r="B27" s="64" t="s">
        <v>217</v>
      </c>
      <c r="C27" s="65" t="s">
        <v>244</v>
      </c>
      <c r="D27" s="66">
        <v>0</v>
      </c>
      <c r="E27" s="62" t="s">
        <v>241</v>
      </c>
      <c r="F27" s="63" t="s">
        <v>400</v>
      </c>
      <c r="G27" s="62"/>
      <c r="H27" s="62"/>
      <c r="I27" s="62"/>
      <c r="J27" s="62"/>
      <c r="K27" s="62"/>
      <c r="L27" s="62"/>
      <c r="M27" s="62"/>
    </row>
    <row r="28" spans="1:13">
      <c r="B28" s="67"/>
      <c r="D28" s="69">
        <v>1</v>
      </c>
      <c r="E28" s="63" t="s">
        <v>290</v>
      </c>
      <c r="F28" s="63" t="s">
        <v>462</v>
      </c>
    </row>
    <row r="29" spans="1:13">
      <c r="B29" s="67"/>
      <c r="D29" s="69">
        <v>2</v>
      </c>
      <c r="E29" s="63" t="s">
        <v>291</v>
      </c>
      <c r="F29" s="63" t="s">
        <v>463</v>
      </c>
    </row>
    <row r="30" spans="1:13">
      <c r="B30" s="67"/>
      <c r="D30" s="69">
        <v>3</v>
      </c>
      <c r="E30" s="63" t="s">
        <v>292</v>
      </c>
      <c r="F30" s="63" t="s">
        <v>464</v>
      </c>
    </row>
    <row r="31" spans="1:13">
      <c r="B31" s="67"/>
      <c r="D31" s="69">
        <v>4</v>
      </c>
      <c r="E31" s="63" t="s">
        <v>293</v>
      </c>
      <c r="F31" s="63" t="s">
        <v>465</v>
      </c>
    </row>
    <row r="32" spans="1:13">
      <c r="A32" s="70"/>
      <c r="B32" s="71"/>
      <c r="C32" s="72"/>
      <c r="D32" s="73">
        <v>5</v>
      </c>
      <c r="E32" s="70" t="s">
        <v>294</v>
      </c>
      <c r="F32" s="63" t="s">
        <v>466</v>
      </c>
      <c r="G32" s="70"/>
      <c r="H32" s="70"/>
      <c r="I32" s="70"/>
      <c r="J32" s="70"/>
      <c r="K32" s="70"/>
      <c r="L32" s="70"/>
      <c r="M32" s="70"/>
    </row>
    <row r="33" spans="1:13">
      <c r="A33" s="57" t="s">
        <v>423</v>
      </c>
      <c r="B33" s="64" t="s">
        <v>218</v>
      </c>
      <c r="C33" s="65" t="s">
        <v>210</v>
      </c>
      <c r="D33" s="66">
        <v>0</v>
      </c>
      <c r="E33" s="62" t="s">
        <v>241</v>
      </c>
      <c r="F33" s="63" t="s">
        <v>400</v>
      </c>
      <c r="G33" s="62"/>
      <c r="H33" s="62"/>
      <c r="I33" s="62"/>
      <c r="J33" s="62"/>
      <c r="K33" s="62"/>
      <c r="L33" s="62"/>
      <c r="M33" s="62"/>
    </row>
    <row r="34" spans="1:13">
      <c r="B34" s="67"/>
      <c r="D34" s="69">
        <v>1</v>
      </c>
      <c r="E34" s="63" t="s">
        <v>245</v>
      </c>
      <c r="F34" s="63" t="s">
        <v>467</v>
      </c>
    </row>
    <row r="35" spans="1:13">
      <c r="B35" s="67"/>
      <c r="D35" s="69">
        <v>2</v>
      </c>
      <c r="E35" s="63" t="s">
        <v>246</v>
      </c>
      <c r="F35" s="63" t="s">
        <v>468</v>
      </c>
    </row>
    <row r="36" spans="1:13">
      <c r="A36" s="70"/>
      <c r="B36" s="71"/>
      <c r="C36" s="72"/>
      <c r="D36" s="73">
        <v>3</v>
      </c>
      <c r="E36" s="70" t="s">
        <v>247</v>
      </c>
      <c r="F36" s="63" t="s">
        <v>469</v>
      </c>
      <c r="G36" s="70"/>
      <c r="H36" s="70"/>
      <c r="I36" s="70"/>
      <c r="J36" s="70"/>
      <c r="K36" s="70"/>
      <c r="L36" s="70"/>
      <c r="M36" s="70"/>
    </row>
    <row r="37" spans="1:13">
      <c r="A37" s="74"/>
      <c r="B37" s="75"/>
      <c r="C37" s="76"/>
      <c r="D37" s="77">
        <v>4</v>
      </c>
      <c r="E37" s="74" t="s">
        <v>295</v>
      </c>
      <c r="F37" s="63" t="s">
        <v>470</v>
      </c>
      <c r="G37" s="74"/>
      <c r="H37" s="74"/>
      <c r="I37" s="74"/>
      <c r="J37" s="74"/>
      <c r="K37" s="74"/>
      <c r="L37" s="74"/>
      <c r="M37" s="74"/>
    </row>
    <row r="38" spans="1:13">
      <c r="A38" s="57" t="s">
        <v>424</v>
      </c>
      <c r="B38" s="64" t="s">
        <v>219</v>
      </c>
      <c r="C38" s="65" t="s">
        <v>211</v>
      </c>
      <c r="D38" s="66">
        <v>0</v>
      </c>
      <c r="E38" s="62" t="s">
        <v>241</v>
      </c>
      <c r="F38" s="63" t="s">
        <v>400</v>
      </c>
      <c r="G38" s="62"/>
      <c r="H38" s="62"/>
      <c r="I38" s="62"/>
      <c r="J38" s="62"/>
      <c r="K38" s="62"/>
      <c r="L38" s="62"/>
      <c r="M38" s="62"/>
    </row>
    <row r="39" spans="1:13">
      <c r="B39" s="67"/>
      <c r="D39" s="69">
        <v>1</v>
      </c>
      <c r="E39" s="63" t="s">
        <v>296</v>
      </c>
      <c r="F39" s="63" t="s">
        <v>471</v>
      </c>
    </row>
    <row r="40" spans="1:13">
      <c r="B40" s="67"/>
      <c r="D40" s="69">
        <v>2</v>
      </c>
      <c r="E40" s="63" t="s">
        <v>297</v>
      </c>
      <c r="F40" s="63" t="s">
        <v>472</v>
      </c>
    </row>
    <row r="41" spans="1:13">
      <c r="B41" s="67"/>
      <c r="D41" s="69">
        <v>3</v>
      </c>
      <c r="E41" s="63" t="s">
        <v>298</v>
      </c>
      <c r="F41" s="63" t="s">
        <v>473</v>
      </c>
    </row>
    <row r="42" spans="1:13">
      <c r="B42" s="67"/>
      <c r="D42" s="69">
        <v>4</v>
      </c>
      <c r="E42" s="63" t="s">
        <v>299</v>
      </c>
      <c r="F42" s="63" t="s">
        <v>474</v>
      </c>
    </row>
    <row r="43" spans="1:13">
      <c r="A43" s="70"/>
      <c r="B43" s="71"/>
      <c r="C43" s="72"/>
      <c r="D43" s="73">
        <v>5</v>
      </c>
      <c r="E43" s="70" t="s">
        <v>300</v>
      </c>
      <c r="F43" s="63" t="s">
        <v>475</v>
      </c>
      <c r="G43" s="70"/>
      <c r="H43" s="70"/>
      <c r="I43" s="70"/>
      <c r="J43" s="70"/>
      <c r="K43" s="70"/>
      <c r="L43" s="70"/>
      <c r="M43" s="70"/>
    </row>
    <row r="44" spans="1:13">
      <c r="A44" s="57" t="s">
        <v>425</v>
      </c>
      <c r="B44" s="64" t="s">
        <v>220</v>
      </c>
      <c r="C44" s="65" t="s">
        <v>212</v>
      </c>
      <c r="D44" s="66">
        <v>0</v>
      </c>
      <c r="E44" s="62" t="s">
        <v>241</v>
      </c>
      <c r="F44" s="63" t="s">
        <v>400</v>
      </c>
      <c r="G44" s="62"/>
      <c r="H44" s="62"/>
      <c r="I44" s="62"/>
      <c r="J44" s="62"/>
      <c r="K44" s="62"/>
      <c r="L44" s="62"/>
      <c r="M44" s="62"/>
    </row>
    <row r="45" spans="1:13">
      <c r="B45" s="67"/>
      <c r="D45" s="69">
        <v>1</v>
      </c>
      <c r="E45" s="63" t="s">
        <v>248</v>
      </c>
      <c r="F45" s="63" t="s">
        <v>476</v>
      </c>
    </row>
    <row r="46" spans="1:13">
      <c r="A46" s="70"/>
      <c r="B46" s="71"/>
      <c r="C46" s="72"/>
      <c r="D46" s="73">
        <v>2</v>
      </c>
      <c r="E46" s="70" t="s">
        <v>249</v>
      </c>
      <c r="F46" s="63" t="s">
        <v>477</v>
      </c>
      <c r="G46" s="70"/>
      <c r="H46" s="70"/>
      <c r="I46" s="70"/>
      <c r="J46" s="70"/>
      <c r="K46" s="70"/>
      <c r="L46" s="70"/>
      <c r="M46" s="70"/>
    </row>
    <row r="47" spans="1:13" ht="75">
      <c r="A47" s="57" t="s">
        <v>426</v>
      </c>
      <c r="B47" s="64" t="s">
        <v>221</v>
      </c>
      <c r="C47" s="65" t="s">
        <v>250</v>
      </c>
      <c r="D47" s="66">
        <v>0</v>
      </c>
      <c r="E47" s="62" t="s">
        <v>251</v>
      </c>
      <c r="F47" s="63" t="s">
        <v>478</v>
      </c>
      <c r="G47" s="62"/>
      <c r="H47" s="62"/>
      <c r="I47" s="62"/>
      <c r="J47" s="62"/>
      <c r="K47" s="62"/>
      <c r="L47" s="62"/>
      <c r="M47" s="62"/>
    </row>
    <row r="48" spans="1:13">
      <c r="B48" s="67"/>
      <c r="D48" s="69">
        <v>1</v>
      </c>
      <c r="E48" s="63" t="s">
        <v>252</v>
      </c>
      <c r="F48" s="63" t="s">
        <v>479</v>
      </c>
    </row>
    <row r="49" spans="1:13">
      <c r="A49" s="70"/>
      <c r="B49" s="71"/>
      <c r="C49" s="72"/>
      <c r="D49" s="73">
        <v>2</v>
      </c>
      <c r="E49" s="70" t="s">
        <v>253</v>
      </c>
      <c r="F49" s="63" t="s">
        <v>480</v>
      </c>
      <c r="G49" s="70"/>
      <c r="H49" s="70"/>
      <c r="I49" s="70"/>
      <c r="J49" s="70"/>
      <c r="K49" s="70"/>
      <c r="L49" s="70"/>
      <c r="M49" s="70"/>
    </row>
    <row r="50" spans="1:13" ht="112.5">
      <c r="A50" s="57" t="s">
        <v>427</v>
      </c>
      <c r="B50" s="64" t="s">
        <v>222</v>
      </c>
      <c r="C50" s="65" t="s">
        <v>254</v>
      </c>
      <c r="D50" s="66">
        <v>0</v>
      </c>
      <c r="E50" s="62" t="s">
        <v>241</v>
      </c>
      <c r="F50" s="63" t="s">
        <v>400</v>
      </c>
      <c r="G50" s="62"/>
      <c r="H50" s="62"/>
      <c r="I50" s="62"/>
      <c r="J50" s="62"/>
      <c r="K50" s="62"/>
      <c r="L50" s="62"/>
      <c r="M50" s="62"/>
    </row>
    <row r="51" spans="1:13">
      <c r="B51" s="67"/>
      <c r="D51" s="69">
        <v>1</v>
      </c>
      <c r="E51" s="63" t="s">
        <v>301</v>
      </c>
      <c r="F51" s="63" t="s">
        <v>481</v>
      </c>
    </row>
    <row r="52" spans="1:13">
      <c r="B52" s="67"/>
      <c r="D52" s="69">
        <v>2</v>
      </c>
      <c r="E52" s="63" t="s">
        <v>350</v>
      </c>
      <c r="F52" s="63" t="s">
        <v>482</v>
      </c>
    </row>
    <row r="53" spans="1:13">
      <c r="A53" s="57" t="s">
        <v>428</v>
      </c>
      <c r="B53" s="64" t="s">
        <v>223</v>
      </c>
      <c r="C53" s="65" t="s">
        <v>213</v>
      </c>
      <c r="D53" s="66">
        <v>0</v>
      </c>
      <c r="E53" s="62" t="s">
        <v>241</v>
      </c>
      <c r="F53" s="63" t="s">
        <v>400</v>
      </c>
      <c r="G53" s="62"/>
      <c r="H53" s="62"/>
      <c r="I53" s="62"/>
      <c r="J53" s="62"/>
      <c r="K53" s="62"/>
      <c r="L53" s="62"/>
      <c r="M53" s="62"/>
    </row>
    <row r="54" spans="1:13">
      <c r="B54" s="67"/>
      <c r="D54" s="69">
        <v>1</v>
      </c>
      <c r="E54" s="63" t="s">
        <v>255</v>
      </c>
      <c r="F54" s="63" t="s">
        <v>483</v>
      </c>
    </row>
    <row r="55" spans="1:13">
      <c r="B55" s="67"/>
      <c r="D55" s="69">
        <v>2</v>
      </c>
      <c r="E55" s="63" t="s">
        <v>302</v>
      </c>
      <c r="F55" s="63" t="s">
        <v>484</v>
      </c>
    </row>
    <row r="56" spans="1:13">
      <c r="A56" s="70"/>
      <c r="B56" s="71"/>
      <c r="C56" s="72"/>
      <c r="D56" s="73">
        <v>3</v>
      </c>
      <c r="E56" s="70" t="s">
        <v>303</v>
      </c>
      <c r="F56" s="63" t="s">
        <v>485</v>
      </c>
      <c r="G56" s="70"/>
      <c r="H56" s="70"/>
      <c r="I56" s="70"/>
      <c r="J56" s="70"/>
      <c r="K56" s="70"/>
      <c r="L56" s="70"/>
      <c r="M56" s="70"/>
    </row>
    <row r="57" spans="1:13">
      <c r="A57" s="74"/>
      <c r="B57" s="75"/>
      <c r="C57" s="76"/>
      <c r="D57" s="77">
        <v>4</v>
      </c>
      <c r="E57" s="74" t="s">
        <v>304</v>
      </c>
      <c r="F57" s="63" t="s">
        <v>486</v>
      </c>
      <c r="G57" s="74"/>
      <c r="H57" s="74"/>
      <c r="I57" s="74"/>
      <c r="J57" s="74"/>
      <c r="K57" s="74"/>
      <c r="L57" s="74"/>
      <c r="M57" s="74"/>
    </row>
    <row r="58" spans="1:13" ht="75">
      <c r="A58" s="57" t="s">
        <v>429</v>
      </c>
      <c r="B58" s="64" t="s">
        <v>224</v>
      </c>
      <c r="C58" s="65" t="s">
        <v>256</v>
      </c>
      <c r="D58" s="66">
        <v>0</v>
      </c>
      <c r="E58" s="62" t="s">
        <v>241</v>
      </c>
      <c r="F58" s="63" t="s">
        <v>400</v>
      </c>
      <c r="G58" s="62"/>
      <c r="H58" s="62"/>
      <c r="I58" s="62"/>
      <c r="J58" s="62"/>
      <c r="K58" s="62"/>
      <c r="L58" s="62"/>
      <c r="M58" s="62"/>
    </row>
    <row r="59" spans="1:13">
      <c r="B59" s="67"/>
      <c r="D59" s="69">
        <v>1</v>
      </c>
      <c r="E59" s="63" t="s">
        <v>305</v>
      </c>
      <c r="F59" s="63" t="s">
        <v>487</v>
      </c>
    </row>
    <row r="60" spans="1:13">
      <c r="B60" s="67"/>
      <c r="D60" s="69">
        <v>2</v>
      </c>
      <c r="E60" s="63" t="s">
        <v>306</v>
      </c>
      <c r="F60" s="63" t="s">
        <v>488</v>
      </c>
    </row>
    <row r="61" spans="1:13" ht="206.25">
      <c r="A61" s="57" t="s">
        <v>430</v>
      </c>
      <c r="B61" s="64" t="s">
        <v>225</v>
      </c>
      <c r="C61" s="65" t="s">
        <v>351</v>
      </c>
      <c r="D61" s="66">
        <v>0</v>
      </c>
      <c r="E61" s="62" t="s">
        <v>251</v>
      </c>
      <c r="F61" s="63" t="s">
        <v>478</v>
      </c>
      <c r="G61" s="62"/>
      <c r="H61" s="62"/>
      <c r="I61" s="62"/>
      <c r="J61" s="62"/>
      <c r="K61" s="62"/>
      <c r="L61" s="62"/>
      <c r="M61" s="62"/>
    </row>
    <row r="62" spans="1:13">
      <c r="B62" s="67"/>
      <c r="D62" s="69">
        <v>1</v>
      </c>
      <c r="E62" s="63" t="s">
        <v>257</v>
      </c>
      <c r="F62" s="63" t="s">
        <v>489</v>
      </c>
    </row>
    <row r="63" spans="1:13">
      <c r="B63" s="67"/>
      <c r="D63" s="69">
        <v>2</v>
      </c>
      <c r="E63" s="63" t="s">
        <v>258</v>
      </c>
      <c r="F63" s="63" t="s">
        <v>490</v>
      </c>
    </row>
    <row r="64" spans="1:13">
      <c r="B64" s="67"/>
      <c r="D64" s="69">
        <v>3</v>
      </c>
      <c r="E64" s="63" t="s">
        <v>307</v>
      </c>
      <c r="F64" s="63" t="s">
        <v>491</v>
      </c>
    </row>
    <row r="65" spans="1:13">
      <c r="B65" s="67"/>
      <c r="D65" s="69">
        <v>4</v>
      </c>
      <c r="E65" s="63" t="s">
        <v>308</v>
      </c>
      <c r="F65" s="63" t="s">
        <v>492</v>
      </c>
    </row>
    <row r="66" spans="1:13">
      <c r="B66" s="67"/>
      <c r="D66" s="69">
        <v>5</v>
      </c>
      <c r="E66" s="63" t="s">
        <v>309</v>
      </c>
      <c r="F66" s="63" t="s">
        <v>493</v>
      </c>
    </row>
    <row r="67" spans="1:13">
      <c r="B67" s="67"/>
      <c r="D67" s="69">
        <v>6</v>
      </c>
      <c r="E67" s="63" t="s">
        <v>352</v>
      </c>
      <c r="F67" s="63" t="s">
        <v>494</v>
      </c>
    </row>
    <row r="68" spans="1:13">
      <c r="B68" s="67"/>
      <c r="D68" s="69">
        <v>7</v>
      </c>
      <c r="E68" s="63" t="s">
        <v>310</v>
      </c>
      <c r="F68" s="63" t="s">
        <v>495</v>
      </c>
    </row>
    <row r="69" spans="1:13" ht="187.5">
      <c r="A69" s="57" t="s">
        <v>431</v>
      </c>
      <c r="B69" s="64" t="s">
        <v>226</v>
      </c>
      <c r="C69" s="65" t="s">
        <v>0</v>
      </c>
      <c r="D69" s="66">
        <v>0</v>
      </c>
      <c r="E69" s="62" t="s">
        <v>251</v>
      </c>
      <c r="F69" s="63" t="s">
        <v>478</v>
      </c>
      <c r="G69" s="62"/>
      <c r="H69" s="62"/>
      <c r="I69" s="62"/>
      <c r="J69" s="62"/>
      <c r="K69" s="62"/>
      <c r="L69" s="62"/>
      <c r="M69" s="62"/>
    </row>
    <row r="70" spans="1:13">
      <c r="B70" s="67"/>
      <c r="D70" s="69">
        <v>1</v>
      </c>
      <c r="E70" s="63" t="s">
        <v>311</v>
      </c>
      <c r="F70" s="63" t="s">
        <v>496</v>
      </c>
    </row>
    <row r="71" spans="1:13">
      <c r="B71" s="67"/>
      <c r="D71" s="69">
        <v>2</v>
      </c>
      <c r="E71" s="63" t="s">
        <v>312</v>
      </c>
      <c r="F71" s="63" t="s">
        <v>497</v>
      </c>
    </row>
    <row r="72" spans="1:13">
      <c r="B72" s="67"/>
      <c r="D72" s="69">
        <v>3</v>
      </c>
      <c r="E72" s="63" t="s">
        <v>313</v>
      </c>
      <c r="F72" s="63" t="s">
        <v>498</v>
      </c>
    </row>
    <row r="73" spans="1:13">
      <c r="B73" s="67"/>
      <c r="D73" s="69">
        <v>4</v>
      </c>
      <c r="E73" s="63" t="s">
        <v>314</v>
      </c>
      <c r="F73" s="63" t="s">
        <v>499</v>
      </c>
    </row>
    <row r="74" spans="1:13">
      <c r="B74" s="67"/>
      <c r="D74" s="69">
        <v>5</v>
      </c>
      <c r="E74" s="63" t="s">
        <v>315</v>
      </c>
      <c r="F74" s="63" t="s">
        <v>500</v>
      </c>
    </row>
    <row r="75" spans="1:13">
      <c r="B75" s="67"/>
      <c r="D75" s="69">
        <v>6</v>
      </c>
      <c r="E75" s="63" t="s">
        <v>316</v>
      </c>
      <c r="F75" s="63" t="s">
        <v>501</v>
      </c>
    </row>
    <row r="76" spans="1:13" ht="93.75">
      <c r="A76" s="57" t="s">
        <v>432</v>
      </c>
      <c r="B76" s="64" t="s">
        <v>227</v>
      </c>
      <c r="C76" s="65" t="s">
        <v>1</v>
      </c>
      <c r="D76" s="66">
        <v>0</v>
      </c>
      <c r="E76" s="62" t="s">
        <v>251</v>
      </c>
      <c r="F76" s="63" t="s">
        <v>478</v>
      </c>
      <c r="G76" s="62"/>
      <c r="H76" s="62"/>
      <c r="I76" s="62"/>
      <c r="J76" s="62"/>
      <c r="K76" s="62"/>
      <c r="L76" s="62"/>
      <c r="M76" s="62"/>
    </row>
    <row r="77" spans="1:13">
      <c r="B77" s="67"/>
      <c r="D77" s="69">
        <v>1</v>
      </c>
      <c r="E77" s="63" t="s">
        <v>317</v>
      </c>
      <c r="F77" s="63" t="s">
        <v>502</v>
      </c>
    </row>
    <row r="78" spans="1:13">
      <c r="B78" s="67"/>
      <c r="D78" s="69">
        <v>2</v>
      </c>
      <c r="E78" s="63" t="s">
        <v>318</v>
      </c>
      <c r="F78" s="63" t="s">
        <v>503</v>
      </c>
    </row>
    <row r="79" spans="1:13" ht="93.75">
      <c r="A79" s="57" t="s">
        <v>433</v>
      </c>
      <c r="B79" s="64" t="s">
        <v>228</v>
      </c>
      <c r="C79" s="65" t="s">
        <v>2</v>
      </c>
      <c r="D79" s="66">
        <v>0</v>
      </c>
      <c r="E79" s="62" t="s">
        <v>251</v>
      </c>
      <c r="F79" s="63" t="s">
        <v>478</v>
      </c>
      <c r="G79" s="62"/>
      <c r="H79" s="62"/>
      <c r="I79" s="62"/>
      <c r="J79" s="62"/>
      <c r="K79" s="62"/>
      <c r="L79" s="62"/>
      <c r="M79" s="62"/>
    </row>
    <row r="80" spans="1:13">
      <c r="B80" s="67"/>
      <c r="D80" s="69">
        <v>1</v>
      </c>
      <c r="E80" s="63" t="s">
        <v>11</v>
      </c>
      <c r="F80" s="63" t="s">
        <v>504</v>
      </c>
    </row>
    <row r="81" spans="1:13">
      <c r="B81" s="67"/>
      <c r="D81" s="69">
        <v>2</v>
      </c>
      <c r="E81" s="63" t="s">
        <v>319</v>
      </c>
      <c r="F81" s="63" t="s">
        <v>505</v>
      </c>
    </row>
    <row r="82" spans="1:13">
      <c r="B82" s="67"/>
      <c r="D82" s="69">
        <v>3</v>
      </c>
      <c r="E82" s="63" t="s">
        <v>320</v>
      </c>
      <c r="F82" s="63" t="s">
        <v>506</v>
      </c>
    </row>
    <row r="83" spans="1:13">
      <c r="A83" s="70"/>
      <c r="B83" s="71"/>
      <c r="C83" s="72"/>
      <c r="D83" s="73">
        <v>4</v>
      </c>
      <c r="E83" s="70" t="s">
        <v>321</v>
      </c>
      <c r="F83" s="63" t="s">
        <v>507</v>
      </c>
      <c r="G83" s="70"/>
      <c r="H83" s="70"/>
      <c r="I83" s="70"/>
      <c r="J83" s="70"/>
      <c r="K83" s="70"/>
      <c r="L83" s="70"/>
      <c r="M83" s="70"/>
    </row>
    <row r="84" spans="1:13" ht="75">
      <c r="A84" s="57" t="s">
        <v>434</v>
      </c>
      <c r="B84" s="64" t="s">
        <v>229</v>
      </c>
      <c r="C84" s="65" t="s">
        <v>3</v>
      </c>
      <c r="D84" s="66">
        <v>0</v>
      </c>
      <c r="E84" s="62" t="s">
        <v>241</v>
      </c>
      <c r="F84" s="63" t="s">
        <v>400</v>
      </c>
      <c r="G84" s="62"/>
      <c r="H84" s="62"/>
      <c r="I84" s="62"/>
      <c r="J84" s="62"/>
      <c r="K84" s="62"/>
      <c r="L84" s="62"/>
      <c r="M84" s="62"/>
    </row>
    <row r="85" spans="1:13">
      <c r="B85" s="67"/>
      <c r="D85" s="69">
        <v>1</v>
      </c>
      <c r="E85" s="63" t="s">
        <v>11</v>
      </c>
      <c r="F85" s="63" t="s">
        <v>504</v>
      </c>
    </row>
    <row r="86" spans="1:13">
      <c r="B86" s="67"/>
      <c r="D86" s="69">
        <v>2</v>
      </c>
      <c r="E86" s="63" t="s">
        <v>323</v>
      </c>
      <c r="F86" s="63" t="s">
        <v>508</v>
      </c>
    </row>
    <row r="87" spans="1:13">
      <c r="A87" s="70"/>
      <c r="B87" s="71"/>
      <c r="C87" s="72"/>
      <c r="D87" s="73">
        <v>3</v>
      </c>
      <c r="E87" s="70" t="s">
        <v>322</v>
      </c>
      <c r="F87" s="63" t="s">
        <v>509</v>
      </c>
      <c r="G87" s="70"/>
      <c r="H87" s="70"/>
      <c r="I87" s="70"/>
      <c r="J87" s="70"/>
      <c r="K87" s="70"/>
      <c r="L87" s="70"/>
      <c r="M87" s="70"/>
    </row>
    <row r="88" spans="1:13" ht="93.75">
      <c r="A88" s="57" t="s">
        <v>439</v>
      </c>
      <c r="B88" s="64" t="s">
        <v>230</v>
      </c>
      <c r="C88" s="65" t="s">
        <v>4</v>
      </c>
      <c r="D88" s="66">
        <v>0</v>
      </c>
      <c r="E88" s="62" t="s">
        <v>241</v>
      </c>
      <c r="F88" s="63" t="s">
        <v>400</v>
      </c>
      <c r="G88" s="62"/>
      <c r="H88" s="62"/>
      <c r="I88" s="62"/>
      <c r="J88" s="62"/>
      <c r="K88" s="62"/>
      <c r="L88" s="62"/>
      <c r="M88" s="62"/>
    </row>
    <row r="89" spans="1:13">
      <c r="B89" s="67"/>
      <c r="D89" s="69">
        <v>1</v>
      </c>
      <c r="E89" s="63" t="s">
        <v>11</v>
      </c>
      <c r="F89" s="63" t="s">
        <v>504</v>
      </c>
    </row>
    <row r="90" spans="1:13">
      <c r="B90" s="67"/>
      <c r="D90" s="69">
        <v>2</v>
      </c>
      <c r="E90" s="63" t="s">
        <v>325</v>
      </c>
      <c r="F90" s="63" t="s">
        <v>510</v>
      </c>
    </row>
    <row r="91" spans="1:13">
      <c r="A91" s="70"/>
      <c r="B91" s="71"/>
      <c r="C91" s="72"/>
      <c r="D91" s="73">
        <v>3</v>
      </c>
      <c r="E91" s="70" t="s">
        <v>324</v>
      </c>
      <c r="F91" s="63" t="s">
        <v>511</v>
      </c>
      <c r="G91" s="70"/>
      <c r="H91" s="70"/>
      <c r="I91" s="70"/>
      <c r="J91" s="70"/>
      <c r="K91" s="70"/>
      <c r="L91" s="70"/>
      <c r="M91" s="70"/>
    </row>
    <row r="92" spans="1:13" ht="93.75">
      <c r="A92" s="57" t="s">
        <v>439</v>
      </c>
      <c r="B92" s="64" t="s">
        <v>231</v>
      </c>
      <c r="C92" s="65" t="s">
        <v>5</v>
      </c>
      <c r="D92" s="66">
        <v>0</v>
      </c>
      <c r="E92" s="62" t="s">
        <v>251</v>
      </c>
      <c r="F92" s="63" t="s">
        <v>478</v>
      </c>
      <c r="G92" s="62"/>
      <c r="H92" s="62"/>
      <c r="I92" s="62"/>
      <c r="J92" s="62"/>
      <c r="K92" s="62"/>
      <c r="L92" s="62"/>
      <c r="M92" s="62"/>
    </row>
    <row r="93" spans="1:13">
      <c r="B93" s="67"/>
      <c r="D93" s="69">
        <v>1</v>
      </c>
      <c r="E93" s="63" t="s">
        <v>6</v>
      </c>
      <c r="F93" s="63" t="s">
        <v>512</v>
      </c>
    </row>
    <row r="94" spans="1:13">
      <c r="B94" s="67"/>
      <c r="D94" s="69">
        <v>2</v>
      </c>
      <c r="E94" s="63" t="s">
        <v>7</v>
      </c>
      <c r="F94" s="63" t="s">
        <v>513</v>
      </c>
    </row>
    <row r="95" spans="1:13">
      <c r="B95" s="67"/>
      <c r="D95" s="69">
        <v>3</v>
      </c>
      <c r="E95" s="63" t="s">
        <v>326</v>
      </c>
      <c r="F95" s="63" t="s">
        <v>514</v>
      </c>
    </row>
    <row r="96" spans="1:13">
      <c r="A96" s="70"/>
      <c r="B96" s="71"/>
      <c r="C96" s="72"/>
      <c r="D96" s="73">
        <v>4</v>
      </c>
      <c r="E96" s="70" t="s">
        <v>8</v>
      </c>
      <c r="F96" s="63" t="s">
        <v>515</v>
      </c>
      <c r="G96" s="70"/>
      <c r="H96" s="70"/>
      <c r="I96" s="70"/>
      <c r="J96" s="70"/>
      <c r="K96" s="70"/>
      <c r="L96" s="70"/>
      <c r="M96" s="70"/>
    </row>
    <row r="97" spans="1:13" ht="93.75">
      <c r="A97" s="57" t="s">
        <v>435</v>
      </c>
      <c r="B97" s="64" t="s">
        <v>232</v>
      </c>
      <c r="C97" s="65" t="s">
        <v>9</v>
      </c>
      <c r="D97" s="66">
        <v>0</v>
      </c>
      <c r="E97" s="62" t="s">
        <v>241</v>
      </c>
      <c r="F97" s="63" t="s">
        <v>400</v>
      </c>
      <c r="G97" s="62"/>
      <c r="H97" s="62"/>
      <c r="I97" s="62"/>
      <c r="J97" s="62"/>
      <c r="K97" s="62"/>
      <c r="L97" s="62"/>
      <c r="M97" s="62"/>
    </row>
    <row r="98" spans="1:13">
      <c r="B98" s="67"/>
      <c r="D98" s="69">
        <v>1</v>
      </c>
      <c r="E98" s="63" t="s">
        <v>327</v>
      </c>
      <c r="F98" s="63" t="s">
        <v>516</v>
      </c>
    </row>
    <row r="99" spans="1:13">
      <c r="B99" s="67"/>
      <c r="D99" s="69">
        <v>2</v>
      </c>
      <c r="E99" s="63" t="s">
        <v>328</v>
      </c>
      <c r="F99" s="63" t="s">
        <v>517</v>
      </c>
    </row>
    <row r="100" spans="1:13">
      <c r="B100" s="67"/>
      <c r="D100" s="69">
        <v>3</v>
      </c>
      <c r="E100" s="63" t="s">
        <v>329</v>
      </c>
      <c r="F100" s="63" t="s">
        <v>518</v>
      </c>
    </row>
    <row r="101" spans="1:13">
      <c r="B101" s="67"/>
      <c r="D101" s="69">
        <v>4</v>
      </c>
      <c r="E101" s="63" t="s">
        <v>330</v>
      </c>
      <c r="F101" s="63" t="s">
        <v>519</v>
      </c>
    </row>
    <row r="102" spans="1:13">
      <c r="B102" s="67"/>
      <c r="D102" s="69">
        <v>5</v>
      </c>
      <c r="E102" s="63" t="s">
        <v>331</v>
      </c>
      <c r="F102" s="63" t="s">
        <v>520</v>
      </c>
    </row>
    <row r="103" spans="1:13">
      <c r="B103" s="67"/>
      <c r="D103" s="69">
        <v>6</v>
      </c>
      <c r="E103" s="63" t="s">
        <v>332</v>
      </c>
      <c r="F103" s="63" t="s">
        <v>521</v>
      </c>
    </row>
    <row r="104" spans="1:13">
      <c r="B104" s="67"/>
      <c r="D104" s="69">
        <v>7</v>
      </c>
      <c r="E104" s="63" t="s">
        <v>333</v>
      </c>
      <c r="F104" s="63" t="s">
        <v>522</v>
      </c>
    </row>
    <row r="105" spans="1:13">
      <c r="B105" s="67"/>
      <c r="D105" s="69">
        <v>8</v>
      </c>
      <c r="E105" s="63" t="s">
        <v>335</v>
      </c>
      <c r="F105" s="63" t="s">
        <v>523</v>
      </c>
    </row>
    <row r="106" spans="1:13">
      <c r="A106" s="70"/>
      <c r="B106" s="71"/>
      <c r="C106" s="72"/>
      <c r="D106" s="73">
        <v>9</v>
      </c>
      <c r="E106" s="70" t="s">
        <v>334</v>
      </c>
      <c r="F106" s="63" t="s">
        <v>524</v>
      </c>
      <c r="G106" s="70"/>
      <c r="H106" s="70"/>
      <c r="I106" s="70"/>
      <c r="J106" s="70"/>
      <c r="K106" s="70"/>
      <c r="L106" s="70"/>
      <c r="M106" s="70"/>
    </row>
    <row r="107" spans="1:13" ht="75">
      <c r="A107" s="57" t="s">
        <v>439</v>
      </c>
      <c r="B107" s="64" t="s">
        <v>233</v>
      </c>
      <c r="C107" s="65" t="s">
        <v>10</v>
      </c>
      <c r="D107" s="66">
        <v>0</v>
      </c>
      <c r="E107" s="62" t="s">
        <v>241</v>
      </c>
      <c r="F107" s="63" t="s">
        <v>400</v>
      </c>
      <c r="G107" s="62"/>
      <c r="H107" s="62"/>
      <c r="I107" s="62"/>
      <c r="J107" s="62"/>
      <c r="K107" s="62"/>
      <c r="L107" s="62"/>
      <c r="M107" s="62"/>
    </row>
    <row r="108" spans="1:13">
      <c r="B108" s="67"/>
      <c r="D108" s="69">
        <v>1</v>
      </c>
      <c r="E108" s="63" t="s">
        <v>11</v>
      </c>
      <c r="F108" s="63" t="s">
        <v>504</v>
      </c>
    </row>
    <row r="109" spans="1:13">
      <c r="B109" s="67"/>
      <c r="D109" s="69">
        <v>2</v>
      </c>
      <c r="E109" s="63" t="s">
        <v>353</v>
      </c>
      <c r="F109" s="63" t="s">
        <v>525</v>
      </c>
    </row>
    <row r="110" spans="1:13">
      <c r="B110" s="67"/>
      <c r="D110" s="69">
        <v>3</v>
      </c>
      <c r="E110" s="63" t="s">
        <v>354</v>
      </c>
      <c r="F110" s="63" t="s">
        <v>526</v>
      </c>
    </row>
    <row r="111" spans="1:13">
      <c r="B111" s="67"/>
      <c r="D111" s="69">
        <v>4</v>
      </c>
      <c r="E111" s="63" t="s">
        <v>336</v>
      </c>
      <c r="F111" s="63" t="s">
        <v>527</v>
      </c>
    </row>
    <row r="112" spans="1:13">
      <c r="B112" s="67"/>
      <c r="D112" s="69">
        <v>5</v>
      </c>
      <c r="E112" s="63" t="s">
        <v>337</v>
      </c>
      <c r="F112" s="63" t="s">
        <v>528</v>
      </c>
    </row>
    <row r="113" spans="1:13">
      <c r="A113" s="70"/>
      <c r="B113" s="71"/>
      <c r="C113" s="72"/>
      <c r="D113" s="73">
        <v>6</v>
      </c>
      <c r="E113" s="70" t="s">
        <v>338</v>
      </c>
      <c r="F113" s="63" t="s">
        <v>529</v>
      </c>
      <c r="G113" s="70"/>
      <c r="H113" s="70"/>
      <c r="I113" s="70"/>
      <c r="J113" s="70"/>
      <c r="K113" s="70"/>
      <c r="L113" s="70"/>
      <c r="M113" s="70"/>
    </row>
    <row r="114" spans="1:13" ht="243.75">
      <c r="A114" s="57" t="s">
        <v>436</v>
      </c>
      <c r="B114" s="64" t="s">
        <v>346</v>
      </c>
      <c r="C114" s="65" t="s">
        <v>347</v>
      </c>
      <c r="D114" s="66">
        <v>0</v>
      </c>
      <c r="E114" s="62" t="s">
        <v>241</v>
      </c>
      <c r="F114" s="63" t="s">
        <v>400</v>
      </c>
      <c r="G114" s="62"/>
      <c r="H114" s="62"/>
      <c r="I114" s="62"/>
      <c r="J114" s="62"/>
      <c r="K114" s="62"/>
      <c r="L114" s="62"/>
      <c r="M114" s="62"/>
    </row>
    <row r="115" spans="1:13">
      <c r="B115" s="67"/>
      <c r="D115" s="69">
        <v>1</v>
      </c>
      <c r="E115" s="63" t="s">
        <v>348</v>
      </c>
      <c r="F115" s="63" t="s">
        <v>530</v>
      </c>
    </row>
    <row r="116" spans="1:13">
      <c r="B116" s="67"/>
      <c r="D116" s="69">
        <v>2</v>
      </c>
      <c r="E116" s="63" t="s">
        <v>349</v>
      </c>
      <c r="F116" s="63" t="s">
        <v>531</v>
      </c>
    </row>
    <row r="117" spans="1:13" ht="93.75">
      <c r="A117" s="57" t="s">
        <v>439</v>
      </c>
      <c r="B117" s="64" t="s">
        <v>234</v>
      </c>
      <c r="C117" s="65" t="s">
        <v>12</v>
      </c>
      <c r="D117" s="66">
        <v>0</v>
      </c>
      <c r="E117" s="62" t="s">
        <v>241</v>
      </c>
      <c r="F117" s="63" t="s">
        <v>400</v>
      </c>
      <c r="G117" s="62"/>
      <c r="H117" s="62"/>
      <c r="I117" s="62"/>
      <c r="J117" s="62"/>
      <c r="K117" s="62"/>
      <c r="L117" s="62"/>
      <c r="M117" s="62"/>
    </row>
    <row r="118" spans="1:13">
      <c r="B118" s="67"/>
      <c r="D118" s="69">
        <v>1</v>
      </c>
      <c r="E118" s="63" t="s">
        <v>355</v>
      </c>
      <c r="F118" s="63" t="s">
        <v>532</v>
      </c>
    </row>
    <row r="119" spans="1:13">
      <c r="B119" s="67"/>
      <c r="D119" s="69">
        <v>2</v>
      </c>
      <c r="E119" s="63" t="s">
        <v>341</v>
      </c>
      <c r="F119" s="63" t="s">
        <v>533</v>
      </c>
    </row>
    <row r="120" spans="1:13">
      <c r="B120" s="67"/>
      <c r="D120" s="69">
        <v>3</v>
      </c>
      <c r="E120" s="63" t="s">
        <v>340</v>
      </c>
      <c r="F120" s="63" t="s">
        <v>534</v>
      </c>
    </row>
    <row r="121" spans="1:13">
      <c r="A121" s="70"/>
      <c r="B121" s="71"/>
      <c r="C121" s="72"/>
      <c r="D121" s="73">
        <v>4</v>
      </c>
      <c r="E121" s="70" t="s">
        <v>339</v>
      </c>
      <c r="F121" s="63" t="s">
        <v>535</v>
      </c>
      <c r="G121" s="70"/>
      <c r="H121" s="70"/>
      <c r="I121" s="70"/>
      <c r="J121" s="70"/>
      <c r="K121" s="70"/>
      <c r="L121" s="70"/>
      <c r="M121" s="70"/>
    </row>
    <row r="122" spans="1:13" ht="131.25">
      <c r="A122" s="57" t="s">
        <v>439</v>
      </c>
      <c r="B122" s="64" t="s">
        <v>235</v>
      </c>
      <c r="C122" s="65" t="s">
        <v>13</v>
      </c>
      <c r="D122" s="66">
        <v>0</v>
      </c>
      <c r="E122" s="62" t="s">
        <v>241</v>
      </c>
      <c r="F122" s="63" t="s">
        <v>400</v>
      </c>
      <c r="G122" s="62"/>
      <c r="H122" s="62"/>
      <c r="I122" s="62"/>
      <c r="J122" s="62"/>
      <c r="K122" s="62"/>
      <c r="L122" s="62"/>
      <c r="M122" s="62"/>
    </row>
    <row r="123" spans="1:13">
      <c r="B123" s="67"/>
      <c r="D123" s="69">
        <v>1</v>
      </c>
      <c r="E123" s="63" t="s">
        <v>355</v>
      </c>
      <c r="F123" s="63" t="s">
        <v>532</v>
      </c>
    </row>
    <row r="124" spans="1:13">
      <c r="B124" s="67"/>
      <c r="D124" s="69">
        <v>2</v>
      </c>
      <c r="E124" s="63" t="s">
        <v>341</v>
      </c>
      <c r="F124" s="63" t="s">
        <v>533</v>
      </c>
    </row>
    <row r="125" spans="1:13">
      <c r="B125" s="67"/>
      <c r="D125" s="69">
        <v>3</v>
      </c>
      <c r="E125" s="63" t="s">
        <v>340</v>
      </c>
      <c r="F125" s="63" t="s">
        <v>534</v>
      </c>
    </row>
    <row r="126" spans="1:13">
      <c r="A126" s="70"/>
      <c r="B126" s="71"/>
      <c r="C126" s="72"/>
      <c r="D126" s="73">
        <v>4</v>
      </c>
      <c r="E126" s="70" t="s">
        <v>339</v>
      </c>
      <c r="F126" s="63" t="s">
        <v>535</v>
      </c>
      <c r="G126" s="70"/>
      <c r="H126" s="70"/>
      <c r="I126" s="70"/>
      <c r="J126" s="70"/>
      <c r="K126" s="70"/>
      <c r="L126" s="70"/>
      <c r="M126" s="70"/>
    </row>
  </sheetData>
  <phoneticPr fontId="0" type="noConversion"/>
  <printOptions gridLines="1"/>
  <pageMargins left="0.7" right="0.7" top="0.75" bottom="0.75" header="0.3" footer="0.3"/>
  <pageSetup paperSize="9" scale="59" fitToHeight="0"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N92"/>
  <sheetViews>
    <sheetView topLeftCell="A121" workbookViewId="0">
      <selection activeCell="B2" sqref="B2"/>
    </sheetView>
  </sheetViews>
  <sheetFormatPr defaultColWidth="8.85546875" defaultRowHeight="15"/>
  <cols>
    <col min="1" max="1" width="15.140625" style="33" customWidth="1"/>
    <col min="2" max="2" width="13.28515625" style="34" customWidth="1"/>
    <col min="3" max="3" width="34" style="35" customWidth="1"/>
    <col min="4" max="4" width="90.7109375" style="41" customWidth="1"/>
    <col min="5" max="16384" width="8.85546875" style="33"/>
  </cols>
  <sheetData>
    <row r="1" spans="1:14" s="28" customFormat="1" ht="36.75" customHeight="1">
      <c r="A1" s="27" t="s">
        <v>440</v>
      </c>
      <c r="B1" s="24" t="s">
        <v>34</v>
      </c>
      <c r="C1" s="25"/>
      <c r="D1" s="26" t="s">
        <v>79</v>
      </c>
      <c r="E1" s="27"/>
      <c r="F1" s="27"/>
      <c r="G1" s="27"/>
      <c r="H1" s="27"/>
      <c r="I1" s="27"/>
      <c r="J1" s="27"/>
      <c r="K1" s="27"/>
      <c r="L1" s="27"/>
      <c r="M1" s="27"/>
      <c r="N1" s="27"/>
    </row>
    <row r="2" spans="1:14" ht="72" customHeight="1">
      <c r="A2" s="48" t="s">
        <v>403</v>
      </c>
      <c r="B2" s="29" t="s">
        <v>80</v>
      </c>
      <c r="C2" s="30" t="s">
        <v>14</v>
      </c>
      <c r="D2" s="31" t="s">
        <v>35</v>
      </c>
      <c r="E2" s="32"/>
      <c r="F2" s="32"/>
      <c r="G2" s="32"/>
      <c r="H2" s="32"/>
      <c r="I2" s="32"/>
      <c r="J2" s="32"/>
      <c r="K2" s="32"/>
      <c r="L2" s="32"/>
      <c r="M2" s="32"/>
      <c r="N2" s="32"/>
    </row>
    <row r="3" spans="1:14">
      <c r="D3" s="36" t="s">
        <v>36</v>
      </c>
    </row>
    <row r="4" spans="1:14">
      <c r="D4" s="36" t="s">
        <v>37</v>
      </c>
    </row>
    <row r="6" spans="1:14" ht="165">
      <c r="A6" s="48" t="s">
        <v>404</v>
      </c>
      <c r="B6" s="29" t="s">
        <v>81</v>
      </c>
      <c r="C6" s="37" t="s">
        <v>15</v>
      </c>
      <c r="D6" s="31" t="s">
        <v>35</v>
      </c>
      <c r="E6" s="32"/>
      <c r="F6" s="32"/>
      <c r="G6" s="32"/>
      <c r="H6" s="32"/>
      <c r="I6" s="32"/>
      <c r="J6" s="32"/>
      <c r="K6" s="32"/>
      <c r="L6" s="32"/>
      <c r="M6" s="32"/>
      <c r="N6" s="32"/>
    </row>
    <row r="7" spans="1:14">
      <c r="D7" s="36" t="s">
        <v>38</v>
      </c>
    </row>
    <row r="8" spans="1:14">
      <c r="D8" s="36" t="s">
        <v>39</v>
      </c>
    </row>
    <row r="10" spans="1:14" ht="90">
      <c r="A10" s="48" t="s">
        <v>405</v>
      </c>
      <c r="B10" s="29" t="s">
        <v>82</v>
      </c>
      <c r="C10" s="37" t="s">
        <v>16</v>
      </c>
      <c r="D10" s="31" t="s">
        <v>35</v>
      </c>
      <c r="E10" s="32"/>
      <c r="F10" s="32"/>
      <c r="G10" s="32"/>
      <c r="H10" s="32"/>
      <c r="I10" s="32"/>
      <c r="J10" s="32"/>
      <c r="K10" s="32"/>
      <c r="L10" s="32"/>
      <c r="M10" s="32"/>
      <c r="N10" s="32"/>
    </row>
    <row r="11" spans="1:14">
      <c r="D11" s="36" t="s">
        <v>40</v>
      </c>
    </row>
    <row r="12" spans="1:14">
      <c r="D12" s="36" t="s">
        <v>41</v>
      </c>
    </row>
    <row r="14" spans="1:14" ht="90">
      <c r="A14" s="48" t="s">
        <v>406</v>
      </c>
      <c r="B14" s="29" t="s">
        <v>83</v>
      </c>
      <c r="C14" s="37" t="s">
        <v>17</v>
      </c>
      <c r="D14" s="31" t="s">
        <v>35</v>
      </c>
      <c r="E14" s="32"/>
      <c r="F14" s="32"/>
      <c r="G14" s="32"/>
      <c r="H14" s="32"/>
      <c r="I14" s="32"/>
      <c r="J14" s="32"/>
      <c r="K14" s="32"/>
      <c r="L14" s="32"/>
      <c r="M14" s="32"/>
      <c r="N14" s="32"/>
    </row>
    <row r="15" spans="1:14">
      <c r="D15" s="36" t="s">
        <v>342</v>
      </c>
    </row>
    <row r="16" spans="1:14">
      <c r="D16" s="36" t="s">
        <v>402</v>
      </c>
    </row>
    <row r="17" spans="1:14">
      <c r="D17" s="36" t="s">
        <v>42</v>
      </c>
    </row>
    <row r="19" spans="1:14" ht="210">
      <c r="A19" s="48" t="s">
        <v>407</v>
      </c>
      <c r="B19" s="29" t="s">
        <v>84</v>
      </c>
      <c r="C19" s="37" t="s">
        <v>18</v>
      </c>
      <c r="D19" s="31" t="s">
        <v>35</v>
      </c>
      <c r="E19" s="32"/>
      <c r="F19" s="32"/>
      <c r="G19" s="32"/>
      <c r="H19" s="32"/>
      <c r="I19" s="32"/>
      <c r="J19" s="32"/>
      <c r="K19" s="32"/>
      <c r="L19" s="32"/>
      <c r="M19" s="32"/>
      <c r="N19" s="32"/>
    </row>
    <row r="20" spans="1:14">
      <c r="D20" s="36" t="s">
        <v>43</v>
      </c>
    </row>
    <row r="21" spans="1:14">
      <c r="D21" s="36" t="s">
        <v>44</v>
      </c>
    </row>
    <row r="23" spans="1:14" ht="165">
      <c r="A23" s="48" t="s">
        <v>408</v>
      </c>
      <c r="B23" s="29" t="s">
        <v>85</v>
      </c>
      <c r="C23" s="37" t="s">
        <v>356</v>
      </c>
      <c r="D23" s="31" t="s">
        <v>35</v>
      </c>
      <c r="E23" s="32"/>
      <c r="F23" s="32"/>
      <c r="G23" s="32"/>
      <c r="H23" s="32"/>
      <c r="I23" s="32"/>
      <c r="J23" s="32"/>
      <c r="K23" s="32"/>
      <c r="L23" s="32"/>
      <c r="M23" s="32"/>
      <c r="N23" s="32"/>
    </row>
    <row r="24" spans="1:14">
      <c r="D24" s="36" t="s">
        <v>45</v>
      </c>
    </row>
    <row r="25" spans="1:14">
      <c r="D25" s="36" t="s">
        <v>46</v>
      </c>
    </row>
    <row r="27" spans="1:14" ht="150">
      <c r="A27" s="48" t="s">
        <v>409</v>
      </c>
      <c r="B27" s="29" t="s">
        <v>98</v>
      </c>
      <c r="C27" s="37" t="s">
        <v>19</v>
      </c>
      <c r="D27" s="31" t="s">
        <v>35</v>
      </c>
      <c r="E27" s="32"/>
      <c r="F27" s="32"/>
      <c r="G27" s="32"/>
      <c r="H27" s="32"/>
      <c r="I27" s="32"/>
      <c r="J27" s="32"/>
      <c r="K27" s="32"/>
      <c r="L27" s="32"/>
      <c r="M27" s="32"/>
      <c r="N27" s="32"/>
    </row>
    <row r="28" spans="1:14">
      <c r="D28" s="36" t="s">
        <v>47</v>
      </c>
    </row>
    <row r="29" spans="1:14">
      <c r="D29" s="36" t="s">
        <v>48</v>
      </c>
    </row>
    <row r="30" spans="1:14">
      <c r="D30" s="36" t="s">
        <v>49</v>
      </c>
    </row>
    <row r="32" spans="1:14" ht="255">
      <c r="A32" s="48" t="s">
        <v>414</v>
      </c>
      <c r="B32" s="29" t="s">
        <v>86</v>
      </c>
      <c r="C32" s="37" t="s">
        <v>20</v>
      </c>
      <c r="D32" s="31" t="s">
        <v>35</v>
      </c>
      <c r="E32" s="32"/>
      <c r="F32" s="32"/>
      <c r="G32" s="32"/>
      <c r="H32" s="32"/>
      <c r="I32" s="32"/>
      <c r="J32" s="32"/>
      <c r="K32" s="32"/>
      <c r="L32" s="32"/>
      <c r="M32" s="32"/>
      <c r="N32" s="32"/>
    </row>
    <row r="33" spans="1:14">
      <c r="D33" s="36" t="s">
        <v>50</v>
      </c>
    </row>
    <row r="34" spans="1:14">
      <c r="D34" s="36" t="s">
        <v>51</v>
      </c>
    </row>
    <row r="35" spans="1:14">
      <c r="D35" s="36" t="s">
        <v>52</v>
      </c>
    </row>
    <row r="37" spans="1:14" ht="135">
      <c r="A37" s="48" t="s">
        <v>415</v>
      </c>
      <c r="B37" s="29" t="s">
        <v>87</v>
      </c>
      <c r="C37" s="37" t="s">
        <v>21</v>
      </c>
      <c r="D37" s="31" t="s">
        <v>35</v>
      </c>
      <c r="E37" s="32"/>
      <c r="F37" s="32"/>
      <c r="G37" s="32"/>
      <c r="H37" s="32"/>
      <c r="I37" s="32"/>
      <c r="J37" s="32"/>
      <c r="K37" s="32"/>
      <c r="L37" s="32"/>
      <c r="M37" s="32"/>
      <c r="N37" s="32"/>
    </row>
    <row r="38" spans="1:14">
      <c r="D38" s="36" t="s">
        <v>53</v>
      </c>
    </row>
    <row r="39" spans="1:14">
      <c r="D39" s="36" t="s">
        <v>54</v>
      </c>
    </row>
    <row r="41" spans="1:14" ht="210">
      <c r="A41" s="48" t="s">
        <v>416</v>
      </c>
      <c r="B41" s="29" t="s">
        <v>88</v>
      </c>
      <c r="C41" s="37" t="s">
        <v>22</v>
      </c>
      <c r="D41" s="31" t="s">
        <v>35</v>
      </c>
      <c r="E41" s="32"/>
      <c r="F41" s="32"/>
      <c r="G41" s="32"/>
      <c r="H41" s="32"/>
      <c r="I41" s="32"/>
      <c r="J41" s="32"/>
      <c r="K41" s="32"/>
      <c r="L41" s="32"/>
      <c r="M41" s="32"/>
      <c r="N41" s="32"/>
    </row>
    <row r="42" spans="1:14">
      <c r="D42" s="36" t="s">
        <v>55</v>
      </c>
    </row>
    <row r="43" spans="1:14">
      <c r="D43" s="36" t="s">
        <v>56</v>
      </c>
    </row>
    <row r="45" spans="1:14" ht="300">
      <c r="A45" s="48" t="s">
        <v>417</v>
      </c>
      <c r="B45" s="29" t="s">
        <v>89</v>
      </c>
      <c r="C45" s="37" t="s">
        <v>357</v>
      </c>
      <c r="D45" s="31" t="s">
        <v>35</v>
      </c>
      <c r="E45" s="32"/>
      <c r="F45" s="32"/>
      <c r="G45" s="32"/>
      <c r="H45" s="32"/>
      <c r="I45" s="32"/>
      <c r="J45" s="32"/>
      <c r="K45" s="32"/>
      <c r="L45" s="32"/>
      <c r="M45" s="32"/>
      <c r="N45" s="32"/>
    </row>
    <row r="46" spans="1:14">
      <c r="D46" s="36" t="s">
        <v>57</v>
      </c>
    </row>
    <row r="47" spans="1:14">
      <c r="D47" s="36" t="s">
        <v>58</v>
      </c>
    </row>
    <row r="49" spans="1:14" ht="270">
      <c r="A49" s="48"/>
      <c r="B49" s="29" t="s">
        <v>90</v>
      </c>
      <c r="C49" s="37" t="s">
        <v>23</v>
      </c>
      <c r="D49" s="31" t="s">
        <v>35</v>
      </c>
      <c r="E49" s="32"/>
      <c r="F49" s="32"/>
      <c r="G49" s="32"/>
      <c r="H49" s="32"/>
      <c r="I49" s="32"/>
      <c r="J49" s="32"/>
      <c r="K49" s="32"/>
      <c r="L49" s="32"/>
      <c r="M49" s="32"/>
      <c r="N49" s="32"/>
    </row>
    <row r="50" spans="1:14">
      <c r="D50" s="36" t="s">
        <v>59</v>
      </c>
    </row>
    <row r="51" spans="1:14">
      <c r="D51" s="36" t="s">
        <v>60</v>
      </c>
    </row>
    <row r="53" spans="1:14" ht="90">
      <c r="A53" s="48" t="s">
        <v>413</v>
      </c>
      <c r="B53" s="29" t="s">
        <v>91</v>
      </c>
      <c r="C53" s="38" t="s">
        <v>24</v>
      </c>
      <c r="D53" s="31" t="s">
        <v>35</v>
      </c>
      <c r="E53" s="32"/>
      <c r="F53" s="32"/>
      <c r="G53" s="32"/>
      <c r="H53" s="32"/>
      <c r="I53" s="32"/>
      <c r="J53" s="32"/>
      <c r="K53" s="32"/>
      <c r="L53" s="32"/>
      <c r="M53" s="32"/>
      <c r="N53" s="32"/>
    </row>
    <row r="54" spans="1:14">
      <c r="D54" s="36" t="s">
        <v>61</v>
      </c>
    </row>
    <row r="55" spans="1:14">
      <c r="B55" s="39"/>
      <c r="D55" s="36" t="s">
        <v>62</v>
      </c>
    </row>
    <row r="56" spans="1:14" ht="60">
      <c r="C56" s="40" t="s">
        <v>25</v>
      </c>
    </row>
    <row r="57" spans="1:14">
      <c r="B57" s="39"/>
    </row>
    <row r="58" spans="1:14" ht="300">
      <c r="C58" s="40" t="s">
        <v>358</v>
      </c>
    </row>
    <row r="60" spans="1:14" ht="90">
      <c r="C60" s="35" t="s">
        <v>26</v>
      </c>
    </row>
    <row r="62" spans="1:14" ht="75">
      <c r="A62" s="48" t="s">
        <v>409</v>
      </c>
      <c r="B62" s="29" t="s">
        <v>92</v>
      </c>
      <c r="C62" s="37" t="s">
        <v>27</v>
      </c>
      <c r="D62" s="31" t="s">
        <v>35</v>
      </c>
      <c r="E62" s="32"/>
      <c r="F62" s="32"/>
      <c r="G62" s="32"/>
      <c r="H62" s="32"/>
      <c r="I62" s="32"/>
      <c r="J62" s="32"/>
      <c r="K62" s="32"/>
      <c r="L62" s="32"/>
      <c r="M62" s="32"/>
      <c r="N62" s="32"/>
    </row>
    <row r="63" spans="1:14">
      <c r="D63" s="36" t="s">
        <v>63</v>
      </c>
    </row>
    <row r="64" spans="1:14">
      <c r="D64" s="36" t="s">
        <v>64</v>
      </c>
    </row>
    <row r="65" spans="1:14">
      <c r="D65" s="36" t="s">
        <v>65</v>
      </c>
    </row>
    <row r="67" spans="1:14" ht="150">
      <c r="A67" s="48" t="s">
        <v>410</v>
      </c>
      <c r="B67" s="29" t="s">
        <v>93</v>
      </c>
      <c r="C67" s="37" t="s">
        <v>28</v>
      </c>
      <c r="D67" s="31" t="s">
        <v>35</v>
      </c>
      <c r="E67" s="32"/>
      <c r="F67" s="32"/>
      <c r="G67" s="32"/>
      <c r="H67" s="32"/>
      <c r="I67" s="32"/>
      <c r="J67" s="32"/>
      <c r="K67" s="32"/>
      <c r="L67" s="32"/>
      <c r="M67" s="32"/>
      <c r="N67" s="32"/>
    </row>
    <row r="68" spans="1:14">
      <c r="D68" s="36" t="s">
        <v>66</v>
      </c>
    </row>
    <row r="69" spans="1:14">
      <c r="D69" s="36" t="s">
        <v>67</v>
      </c>
    </row>
    <row r="70" spans="1:14">
      <c r="D70" s="36" t="s">
        <v>68</v>
      </c>
    </row>
    <row r="72" spans="1:14" ht="120">
      <c r="A72" s="48" t="s">
        <v>411</v>
      </c>
      <c r="B72" s="29" t="s">
        <v>94</v>
      </c>
      <c r="C72" s="37" t="s">
        <v>29</v>
      </c>
      <c r="D72" s="31" t="s">
        <v>35</v>
      </c>
      <c r="E72" s="32"/>
      <c r="F72" s="32"/>
      <c r="G72" s="32"/>
      <c r="H72" s="32"/>
      <c r="I72" s="32"/>
      <c r="J72" s="32"/>
      <c r="K72" s="32"/>
      <c r="L72" s="32"/>
      <c r="M72" s="32"/>
      <c r="N72" s="32"/>
    </row>
    <row r="73" spans="1:14">
      <c r="D73" s="36" t="s">
        <v>69</v>
      </c>
    </row>
    <row r="74" spans="1:14">
      <c r="D74" s="36" t="s">
        <v>70</v>
      </c>
    </row>
    <row r="75" spans="1:14">
      <c r="D75" s="36" t="s">
        <v>71</v>
      </c>
    </row>
    <row r="76" spans="1:14" ht="13.5" customHeight="1"/>
    <row r="77" spans="1:14" ht="135">
      <c r="A77" s="48" t="s">
        <v>412</v>
      </c>
      <c r="B77" s="29" t="s">
        <v>95</v>
      </c>
      <c r="C77" s="37" t="s">
        <v>30</v>
      </c>
      <c r="D77" s="31" t="s">
        <v>35</v>
      </c>
      <c r="E77" s="32"/>
      <c r="F77" s="32"/>
      <c r="G77" s="32"/>
      <c r="H77" s="32"/>
      <c r="I77" s="32"/>
      <c r="J77" s="32"/>
      <c r="K77" s="32"/>
      <c r="L77" s="32"/>
      <c r="M77" s="32"/>
      <c r="N77" s="32"/>
    </row>
    <row r="78" spans="1:14">
      <c r="D78" s="36" t="s">
        <v>343</v>
      </c>
    </row>
    <row r="79" spans="1:14">
      <c r="D79" s="36" t="s">
        <v>344</v>
      </c>
    </row>
    <row r="81" spans="1:14" ht="270">
      <c r="A81" s="48" t="s">
        <v>418</v>
      </c>
      <c r="B81" s="29" t="s">
        <v>96</v>
      </c>
      <c r="C81" s="37" t="s">
        <v>31</v>
      </c>
      <c r="D81" s="31" t="s">
        <v>35</v>
      </c>
      <c r="E81" s="32"/>
      <c r="F81" s="32"/>
      <c r="G81" s="32"/>
      <c r="H81" s="32"/>
      <c r="I81" s="32"/>
      <c r="J81" s="32"/>
      <c r="K81" s="32"/>
      <c r="L81" s="32"/>
      <c r="M81" s="32"/>
      <c r="N81" s="32"/>
    </row>
    <row r="82" spans="1:14">
      <c r="D82" s="36" t="s">
        <v>72</v>
      </c>
    </row>
    <row r="83" spans="1:14">
      <c r="D83" s="36" t="s">
        <v>73</v>
      </c>
    </row>
    <row r="85" spans="1:14" ht="135">
      <c r="A85" s="48" t="s">
        <v>437</v>
      </c>
      <c r="B85" s="29" t="s">
        <v>345</v>
      </c>
      <c r="C85" s="37" t="s">
        <v>32</v>
      </c>
      <c r="D85" s="31" t="s">
        <v>74</v>
      </c>
      <c r="E85" s="32"/>
      <c r="F85" s="32"/>
      <c r="G85" s="32"/>
      <c r="H85" s="32"/>
      <c r="I85" s="32"/>
      <c r="J85" s="32"/>
      <c r="K85" s="32"/>
      <c r="L85" s="32"/>
      <c r="M85" s="32"/>
      <c r="N85" s="32"/>
    </row>
    <row r="86" spans="1:14">
      <c r="D86" s="36" t="s">
        <v>75</v>
      </c>
    </row>
    <row r="87" spans="1:14">
      <c r="D87" s="36" t="s">
        <v>76</v>
      </c>
    </row>
    <row r="89" spans="1:14" ht="135">
      <c r="A89" s="48" t="s">
        <v>438</v>
      </c>
      <c r="B89" s="29" t="s">
        <v>97</v>
      </c>
      <c r="C89" s="37" t="s">
        <v>33</v>
      </c>
      <c r="D89" s="31" t="s">
        <v>35</v>
      </c>
      <c r="E89" s="32"/>
      <c r="F89" s="32"/>
      <c r="G89" s="32"/>
      <c r="H89" s="32"/>
      <c r="I89" s="32"/>
      <c r="J89" s="32"/>
      <c r="K89" s="32"/>
      <c r="L89" s="32"/>
      <c r="M89" s="32"/>
      <c r="N89" s="32"/>
    </row>
    <row r="90" spans="1:14">
      <c r="D90" s="36" t="s">
        <v>77</v>
      </c>
    </row>
    <row r="91" spans="1:14">
      <c r="A91" s="45"/>
      <c r="B91" s="42"/>
      <c r="C91" s="43"/>
      <c r="D91" s="44" t="s">
        <v>78</v>
      </c>
      <c r="E91" s="45"/>
      <c r="F91" s="45"/>
      <c r="G91" s="45"/>
      <c r="H91" s="45"/>
      <c r="I91" s="45"/>
      <c r="J91" s="45"/>
      <c r="K91" s="45"/>
      <c r="L91" s="45"/>
      <c r="M91" s="45"/>
      <c r="N91" s="45"/>
    </row>
    <row r="92" spans="1:14">
      <c r="A92" s="48"/>
      <c r="B92" s="46"/>
      <c r="C92" s="30"/>
      <c r="D92" s="47"/>
      <c r="E92" s="32"/>
      <c r="F92" s="32"/>
      <c r="G92" s="32"/>
      <c r="H92" s="32"/>
      <c r="I92" s="32"/>
      <c r="J92" s="32"/>
      <c r="K92" s="32"/>
      <c r="L92" s="32"/>
      <c r="M92" s="32"/>
      <c r="N92" s="32"/>
    </row>
  </sheetData>
  <phoneticPr fontId="0" type="noConversion"/>
  <printOptions gridLines="1"/>
  <pageMargins left="0.70866141732283472" right="0.70866141732283472" top="0.74803149606299213" bottom="0.74803149606299213" header="0.31496062992125984" footer="0.31496062992125984"/>
  <pageSetup paperSize="9" fitToWidth="0" fitToHeight="0"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5:N35"/>
  <sheetViews>
    <sheetView topLeftCell="A4" workbookViewId="0">
      <selection activeCell="D33" sqref="D33"/>
    </sheetView>
  </sheetViews>
  <sheetFormatPr defaultColWidth="8.85546875" defaultRowHeight="17.25" customHeight="1"/>
  <cols>
    <col min="1" max="1" width="7.42578125" customWidth="1"/>
  </cols>
  <sheetData>
    <row r="5" spans="1:14" ht="17.25" customHeight="1">
      <c r="A5" s="1"/>
    </row>
    <row r="6" spans="1:14" ht="17.25" customHeight="1">
      <c r="A6" s="1"/>
      <c r="B6" s="10" t="s">
        <v>109</v>
      </c>
      <c r="D6" s="23" t="s">
        <v>196</v>
      </c>
      <c r="F6" s="18" t="s">
        <v>146</v>
      </c>
      <c r="H6" s="16" t="s">
        <v>155</v>
      </c>
      <c r="J6" s="3" t="s">
        <v>167</v>
      </c>
      <c r="K6" s="3" t="s">
        <v>168</v>
      </c>
      <c r="L6" s="3" t="s">
        <v>169</v>
      </c>
      <c r="M6" s="3" t="s">
        <v>170</v>
      </c>
      <c r="N6" s="19"/>
    </row>
    <row r="7" spans="1:14" ht="17.25" customHeight="1">
      <c r="A7" s="2"/>
      <c r="B7" s="7" t="s">
        <v>113</v>
      </c>
      <c r="D7" s="9" t="s">
        <v>105</v>
      </c>
      <c r="F7" s="17" t="s">
        <v>147</v>
      </c>
      <c r="H7" s="14" t="s">
        <v>130</v>
      </c>
      <c r="J7" s="3" t="s">
        <v>108</v>
      </c>
      <c r="L7" s="3" t="s">
        <v>107</v>
      </c>
      <c r="M7" s="3"/>
      <c r="N7" s="20"/>
    </row>
    <row r="8" spans="1:14" ht="17.25" customHeight="1">
      <c r="A8" s="2"/>
      <c r="B8" s="6" t="s">
        <v>112</v>
      </c>
      <c r="D8" s="3" t="s">
        <v>112</v>
      </c>
      <c r="F8" s="17" t="s">
        <v>189</v>
      </c>
      <c r="H8" s="14" t="s">
        <v>188</v>
      </c>
      <c r="J8" s="3" t="s">
        <v>165</v>
      </c>
      <c r="L8" s="3" t="s">
        <v>166</v>
      </c>
    </row>
    <row r="9" spans="1:14" ht="17.25" customHeight="1">
      <c r="A9" s="1"/>
      <c r="B9" s="12" t="s">
        <v>206</v>
      </c>
      <c r="D9" s="11" t="s">
        <v>110</v>
      </c>
      <c r="F9" s="17" t="s">
        <v>148</v>
      </c>
      <c r="H9" s="14" t="s">
        <v>131</v>
      </c>
      <c r="J9" s="3" t="s">
        <v>176</v>
      </c>
      <c r="L9" s="3" t="s">
        <v>171</v>
      </c>
    </row>
    <row r="10" spans="1:14" ht="17.25" customHeight="1">
      <c r="A10" s="1"/>
      <c r="B10" s="7" t="s">
        <v>207</v>
      </c>
      <c r="D10" s="9" t="s">
        <v>115</v>
      </c>
      <c r="F10" s="17" t="s">
        <v>149</v>
      </c>
      <c r="H10" s="15" t="s">
        <v>132</v>
      </c>
      <c r="J10" s="3" t="s">
        <v>177</v>
      </c>
      <c r="L10" s="3" t="s">
        <v>172</v>
      </c>
    </row>
    <row r="11" spans="1:14" ht="17.25" customHeight="1">
      <c r="A11" s="1"/>
      <c r="B11" s="7" t="s">
        <v>208</v>
      </c>
      <c r="D11" s="9" t="s">
        <v>119</v>
      </c>
      <c r="F11" s="17" t="s">
        <v>150</v>
      </c>
      <c r="H11" s="14" t="s">
        <v>133</v>
      </c>
      <c r="J11" s="3" t="s">
        <v>178</v>
      </c>
      <c r="L11" s="3" t="s">
        <v>173</v>
      </c>
    </row>
    <row r="12" spans="1:14" ht="17.25" customHeight="1">
      <c r="A12" s="1"/>
      <c r="B12" s="7" t="s">
        <v>114</v>
      </c>
      <c r="D12" s="9" t="s">
        <v>120</v>
      </c>
      <c r="F12" s="17" t="s">
        <v>151</v>
      </c>
      <c r="H12" s="14" t="s">
        <v>263</v>
      </c>
      <c r="J12" s="3" t="s">
        <v>179</v>
      </c>
      <c r="L12" s="3" t="s">
        <v>174</v>
      </c>
    </row>
    <row r="13" spans="1:14" ht="17.25" customHeight="1">
      <c r="A13" s="4"/>
      <c r="B13" s="7" t="s">
        <v>99</v>
      </c>
      <c r="D13" s="9" t="s">
        <v>121</v>
      </c>
      <c r="F13" s="17" t="s">
        <v>112</v>
      </c>
      <c r="H13" s="14" t="s">
        <v>134</v>
      </c>
      <c r="J13" s="3" t="s">
        <v>164</v>
      </c>
      <c r="L13" s="3" t="s">
        <v>175</v>
      </c>
    </row>
    <row r="14" spans="1:14" ht="17.25" customHeight="1">
      <c r="A14" s="1"/>
      <c r="B14" s="7" t="s">
        <v>100</v>
      </c>
      <c r="D14" s="9" t="s">
        <v>116</v>
      </c>
      <c r="F14" s="17" t="s">
        <v>156</v>
      </c>
      <c r="H14" s="14" t="s">
        <v>135</v>
      </c>
      <c r="J14" s="3" t="s">
        <v>106</v>
      </c>
      <c r="L14" s="3" t="s">
        <v>108</v>
      </c>
    </row>
    <row r="15" spans="1:14" ht="17.25" customHeight="1">
      <c r="A15" s="5"/>
      <c r="B15" s="7" t="s">
        <v>101</v>
      </c>
      <c r="D15" s="9" t="s">
        <v>259</v>
      </c>
      <c r="F15" s="17" t="s">
        <v>264</v>
      </c>
      <c r="H15" s="14" t="s">
        <v>136</v>
      </c>
      <c r="J15" s="3" t="s">
        <v>163</v>
      </c>
      <c r="L15" s="3" t="s">
        <v>165</v>
      </c>
    </row>
    <row r="16" spans="1:14" ht="17.25" customHeight="1">
      <c r="A16" s="1"/>
      <c r="B16" s="7" t="s">
        <v>102</v>
      </c>
      <c r="D16" s="9" t="s">
        <v>122</v>
      </c>
      <c r="F16" s="17" t="s">
        <v>157</v>
      </c>
      <c r="H16" s="14" t="s">
        <v>137</v>
      </c>
      <c r="J16" s="3" t="s">
        <v>180</v>
      </c>
      <c r="L16" s="3" t="s">
        <v>176</v>
      </c>
    </row>
    <row r="17" spans="1:12" ht="17.25" customHeight="1">
      <c r="A17" s="1"/>
      <c r="B17" s="7" t="s">
        <v>185</v>
      </c>
      <c r="D17" s="9" t="s">
        <v>261</v>
      </c>
      <c r="F17" s="17" t="s">
        <v>158</v>
      </c>
      <c r="H17" s="14" t="s">
        <v>190</v>
      </c>
      <c r="J17" s="3" t="s">
        <v>181</v>
      </c>
      <c r="L17" s="3" t="s">
        <v>177</v>
      </c>
    </row>
    <row r="18" spans="1:12" ht="17.25" customHeight="1">
      <c r="A18" s="1"/>
      <c r="B18" s="7" t="s">
        <v>186</v>
      </c>
      <c r="D18" s="9" t="s">
        <v>267</v>
      </c>
      <c r="F18" s="17" t="s">
        <v>160</v>
      </c>
      <c r="H18" s="14" t="s">
        <v>262</v>
      </c>
      <c r="J18" s="3" t="s">
        <v>182</v>
      </c>
      <c r="L18" s="3" t="s">
        <v>178</v>
      </c>
    </row>
    <row r="19" spans="1:12" ht="17.25" customHeight="1">
      <c r="A19" s="1"/>
      <c r="B19" s="7" t="s">
        <v>103</v>
      </c>
      <c r="D19" s="9" t="s">
        <v>123</v>
      </c>
      <c r="F19" s="17" t="s">
        <v>159</v>
      </c>
      <c r="H19" s="14" t="s">
        <v>195</v>
      </c>
      <c r="J19" s="3" t="s">
        <v>183</v>
      </c>
      <c r="L19" s="3" t="s">
        <v>179</v>
      </c>
    </row>
    <row r="20" spans="1:12" ht="17.25" customHeight="1">
      <c r="A20" s="1"/>
      <c r="B20" s="3" t="s">
        <v>112</v>
      </c>
      <c r="D20" s="8" t="s">
        <v>266</v>
      </c>
      <c r="F20" s="17" t="s">
        <v>161</v>
      </c>
      <c r="H20" s="14" t="s">
        <v>191</v>
      </c>
      <c r="J20" s="3" t="s">
        <v>162</v>
      </c>
      <c r="L20" s="3" t="s">
        <v>164</v>
      </c>
    </row>
    <row r="21" spans="1:12" ht="17.25" customHeight="1">
      <c r="A21" s="1"/>
      <c r="B21" s="10" t="s">
        <v>111</v>
      </c>
      <c r="D21" s="9" t="s">
        <v>124</v>
      </c>
      <c r="F21" s="3" t="s">
        <v>112</v>
      </c>
      <c r="H21" s="14" t="s">
        <v>192</v>
      </c>
      <c r="J21" s="20"/>
      <c r="L21" s="3" t="s">
        <v>106</v>
      </c>
    </row>
    <row r="22" spans="1:12" ht="17.25" customHeight="1">
      <c r="A22" s="1"/>
      <c r="B22" s="7" t="s">
        <v>129</v>
      </c>
      <c r="D22" s="9" t="s">
        <v>125</v>
      </c>
      <c r="F22" s="18" t="s">
        <v>152</v>
      </c>
      <c r="H22" s="14" t="s">
        <v>193</v>
      </c>
      <c r="J22" s="20"/>
      <c r="L22" s="3" t="s">
        <v>163</v>
      </c>
    </row>
    <row r="23" spans="1:12" ht="17.25" customHeight="1">
      <c r="A23" s="1"/>
      <c r="B23" s="7" t="s">
        <v>184</v>
      </c>
      <c r="D23" s="9" t="s">
        <v>117</v>
      </c>
      <c r="F23" s="17" t="s">
        <v>154</v>
      </c>
      <c r="H23" s="14" t="s">
        <v>194</v>
      </c>
      <c r="J23" s="20"/>
      <c r="L23" s="3" t="s">
        <v>180</v>
      </c>
    </row>
    <row r="24" spans="1:12" ht="17.25" customHeight="1">
      <c r="A24" s="1"/>
      <c r="B24" s="7" t="s">
        <v>112</v>
      </c>
      <c r="D24" s="9" t="s">
        <v>126</v>
      </c>
      <c r="F24" s="17" t="s">
        <v>153</v>
      </c>
      <c r="H24" s="13" t="s">
        <v>112</v>
      </c>
      <c r="J24" s="20"/>
      <c r="L24" s="3" t="s">
        <v>181</v>
      </c>
    </row>
    <row r="25" spans="1:12" ht="17.25" customHeight="1">
      <c r="A25" s="1"/>
      <c r="B25" s="7" t="s">
        <v>199</v>
      </c>
      <c r="D25" s="9" t="s">
        <v>104</v>
      </c>
      <c r="F25" s="18" t="s">
        <v>112</v>
      </c>
      <c r="H25" s="13" t="s">
        <v>138</v>
      </c>
      <c r="J25" s="20"/>
      <c r="L25" s="3" t="s">
        <v>182</v>
      </c>
    </row>
    <row r="26" spans="1:12" ht="17.25" customHeight="1">
      <c r="A26" s="1"/>
      <c r="B26" s="7" t="s">
        <v>112</v>
      </c>
      <c r="D26" s="9" t="s">
        <v>127</v>
      </c>
      <c r="F26" s="17" t="s">
        <v>112</v>
      </c>
      <c r="H26" s="13" t="s">
        <v>139</v>
      </c>
      <c r="J26" s="20"/>
      <c r="L26" s="3" t="s">
        <v>183</v>
      </c>
    </row>
    <row r="27" spans="1:12" ht="17.25" customHeight="1">
      <c r="A27" s="1"/>
      <c r="B27" s="7" t="s">
        <v>187</v>
      </c>
      <c r="D27" s="9" t="s">
        <v>118</v>
      </c>
      <c r="F27" s="17" t="s">
        <v>112</v>
      </c>
      <c r="H27" s="13" t="s">
        <v>140</v>
      </c>
      <c r="J27" s="20"/>
      <c r="L27" s="3" t="s">
        <v>162</v>
      </c>
    </row>
    <row r="28" spans="1:12" ht="17.25" customHeight="1">
      <c r="A28" s="1"/>
      <c r="B28" s="7" t="s">
        <v>197</v>
      </c>
      <c r="D28" s="9" t="s">
        <v>128</v>
      </c>
      <c r="F28" s="21" t="s">
        <v>112</v>
      </c>
      <c r="H28" s="13" t="s">
        <v>141</v>
      </c>
      <c r="J28" s="20"/>
    </row>
    <row r="29" spans="1:12" ht="17.25" customHeight="1">
      <c r="A29" s="1"/>
      <c r="B29" s="7" t="s">
        <v>198</v>
      </c>
      <c r="D29" s="9" t="s">
        <v>260</v>
      </c>
      <c r="F29" s="17" t="s">
        <v>112</v>
      </c>
      <c r="H29" s="13" t="s">
        <v>142</v>
      </c>
      <c r="J29" s="20"/>
    </row>
    <row r="30" spans="1:12" ht="17.25" customHeight="1">
      <c r="A30" s="1"/>
      <c r="B30" s="7" t="s">
        <v>203</v>
      </c>
      <c r="D30" s="9" t="s">
        <v>112</v>
      </c>
      <c r="F30" s="17" t="s">
        <v>112</v>
      </c>
      <c r="H30" s="13" t="s">
        <v>143</v>
      </c>
      <c r="J30" s="20"/>
    </row>
    <row r="31" spans="1:12" ht="17.25" customHeight="1">
      <c r="A31" s="1"/>
      <c r="B31" s="7" t="s">
        <v>200</v>
      </c>
      <c r="D31" s="9" t="s">
        <v>268</v>
      </c>
      <c r="F31" s="17" t="s">
        <v>112</v>
      </c>
      <c r="H31" s="13" t="s">
        <v>144</v>
      </c>
      <c r="J31" s="20"/>
    </row>
    <row r="32" spans="1:12" ht="17.25" customHeight="1">
      <c r="A32" s="1"/>
      <c r="B32" s="7" t="s">
        <v>201</v>
      </c>
      <c r="D32" s="9" t="s">
        <v>265</v>
      </c>
      <c r="F32" s="17" t="s">
        <v>112</v>
      </c>
      <c r="H32" s="13" t="s">
        <v>145</v>
      </c>
      <c r="J32" s="20"/>
    </row>
    <row r="33" spans="1:10" ht="17.25" customHeight="1">
      <c r="A33" s="1"/>
      <c r="B33" s="7" t="s">
        <v>204</v>
      </c>
      <c r="D33" s="9" t="s">
        <v>269</v>
      </c>
      <c r="F33" s="17" t="s">
        <v>112</v>
      </c>
      <c r="H33" s="22" t="s">
        <v>112</v>
      </c>
      <c r="J33" s="20"/>
    </row>
    <row r="34" spans="1:10" ht="17.25" customHeight="1">
      <c r="A34" s="1"/>
      <c r="B34" s="7" t="s">
        <v>202</v>
      </c>
      <c r="D34" s="3" t="s">
        <v>112</v>
      </c>
      <c r="F34" s="3" t="s">
        <v>112</v>
      </c>
      <c r="H34" s="13" t="s">
        <v>112</v>
      </c>
      <c r="J34" s="20"/>
    </row>
    <row r="35" spans="1:10" ht="17.25" customHeight="1">
      <c r="A35" s="1"/>
      <c r="B35" s="7" t="s">
        <v>205</v>
      </c>
      <c r="D35" s="3" t="s">
        <v>112</v>
      </c>
      <c r="F35" s="3" t="s">
        <v>112</v>
      </c>
      <c r="H35" s="13" t="s">
        <v>112</v>
      </c>
      <c r="J35" s="20"/>
    </row>
  </sheetData>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Primary Characteristics</vt:lpstr>
      <vt:lpstr>PITO</vt:lpstr>
      <vt:lpstr>Ferry Land Improvements</vt:lpstr>
      <vt:lpstr>Secondary WS Modifiers</vt:lpstr>
      <vt:lpstr>Secondary EQ Modifiers</vt:lpstr>
      <vt:lpstr>instructions</vt:lpstr>
      <vt:lpstr>Sheet1</vt:lpstr>
      <vt:lpstr>'Secondary EQ Modifiers'!Print_Area</vt:lpstr>
      <vt:lpstr>'Secondary WS Modifiers'!Print_Area</vt:lpstr>
    </vt:vector>
  </TitlesOfParts>
  <Company>Risk Management Solutions,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RMS User</dc:creator>
  <cp:lastModifiedBy>Welsh, Rachel</cp:lastModifiedBy>
  <cp:lastPrinted>2014-01-15T18:22:25Z</cp:lastPrinted>
  <dcterms:created xsi:type="dcterms:W3CDTF">2006-11-30T16:16:31Z</dcterms:created>
  <dcterms:modified xsi:type="dcterms:W3CDTF">2014-01-30T15:46:29Z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